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8800" windowHeight="11835"/>
  </bookViews>
  <sheets>
    <sheet name="PAA 2022 SEC MOV" sheetId="3" r:id="rId1"/>
  </sheets>
  <definedNames>
    <definedName name="_xlnm.Print_Titles" localSheetId="0">'PAA 2022 SEC MOV'!$5:$5</definedName>
  </definedNames>
  <calcPr calcId="162913"/>
</workbook>
</file>

<file path=xl/calcChain.xml><?xml version="1.0" encoding="utf-8"?>
<calcChain xmlns="http://schemas.openxmlformats.org/spreadsheetml/2006/main">
  <c r="F8" i="3" l="1"/>
  <c r="F216" i="3"/>
  <c r="D28" i="3"/>
  <c r="D14" i="3"/>
  <c r="F14" i="3" s="1"/>
  <c r="X197" i="3"/>
  <c r="V197" i="3"/>
  <c r="T197" i="3"/>
  <c r="R197" i="3"/>
  <c r="P197" i="3"/>
  <c r="N197" i="3"/>
  <c r="L197" i="3"/>
  <c r="J197" i="3"/>
  <c r="H197" i="3"/>
  <c r="F197" i="3" s="1"/>
  <c r="F164" i="3"/>
  <c r="F166" i="3"/>
  <c r="F167" i="3"/>
  <c r="F168" i="3"/>
  <c r="F169" i="3"/>
  <c r="F170" i="3"/>
  <c r="R165" i="3"/>
  <c r="F165" i="3" s="1"/>
  <c r="F131" i="3"/>
  <c r="G124" i="3"/>
  <c r="I124" i="3"/>
  <c r="K124" i="3"/>
  <c r="M124" i="3"/>
  <c r="O124" i="3"/>
  <c r="Q124" i="3"/>
  <c r="S124" i="3"/>
  <c r="U124" i="3"/>
  <c r="W124" i="3"/>
  <c r="Y124" i="3"/>
  <c r="AA124" i="3"/>
  <c r="AC124" i="3"/>
  <c r="G8" i="3"/>
  <c r="D71" i="3"/>
  <c r="D67" i="3"/>
  <c r="O8" i="3"/>
  <c r="M8" i="3"/>
  <c r="K8" i="3"/>
  <c r="I8" i="3"/>
  <c r="D30" i="3"/>
  <c r="F30" i="3" s="1"/>
  <c r="D31" i="3"/>
  <c r="Q8" i="3"/>
  <c r="S8" i="3"/>
  <c r="U8" i="3"/>
  <c r="W8" i="3"/>
  <c r="Y8" i="3"/>
  <c r="AA8" i="3"/>
  <c r="AC8" i="3"/>
  <c r="D62" i="3"/>
  <c r="H62" i="3"/>
  <c r="J62" i="3"/>
  <c r="L62" i="3"/>
  <c r="N62" i="3"/>
  <c r="P62" i="3"/>
  <c r="R62" i="3"/>
  <c r="T62" i="3"/>
  <c r="V62" i="3"/>
  <c r="X62" i="3"/>
  <c r="Z62" i="3"/>
  <c r="AB62" i="3"/>
  <c r="AD62" i="3"/>
  <c r="F62" i="3"/>
  <c r="D64" i="3"/>
  <c r="H64" i="3"/>
  <c r="J64" i="3"/>
  <c r="L64" i="3"/>
  <c r="N64" i="3"/>
  <c r="P64" i="3"/>
  <c r="R64" i="3"/>
  <c r="T64" i="3"/>
  <c r="V64" i="3"/>
  <c r="X64" i="3"/>
  <c r="Z64" i="3"/>
  <c r="AB64" i="3"/>
  <c r="AD64" i="3"/>
  <c r="F64" i="3"/>
  <c r="F163" i="3" l="1"/>
  <c r="AD61" i="3" l="1"/>
  <c r="AB61" i="3"/>
  <c r="Z61" i="3"/>
  <c r="X61" i="3"/>
  <c r="AD60" i="3"/>
  <c r="AB60" i="3"/>
  <c r="Z60" i="3"/>
  <c r="X60" i="3"/>
  <c r="AD59" i="3"/>
  <c r="AB59" i="3"/>
  <c r="Z59" i="3"/>
  <c r="X59" i="3"/>
  <c r="AD58" i="3"/>
  <c r="AB58" i="3"/>
  <c r="Z58" i="3"/>
  <c r="X58" i="3"/>
  <c r="AD57" i="3"/>
  <c r="AB57" i="3"/>
  <c r="Z57" i="3"/>
  <c r="X57" i="3"/>
  <c r="V61" i="3"/>
  <c r="T61" i="3"/>
  <c r="R61" i="3"/>
  <c r="P61" i="3"/>
  <c r="V60" i="3"/>
  <c r="T60" i="3"/>
  <c r="R60" i="3"/>
  <c r="P60" i="3"/>
  <c r="V59" i="3"/>
  <c r="T59" i="3"/>
  <c r="R59" i="3"/>
  <c r="P59" i="3"/>
  <c r="V58" i="3"/>
  <c r="T58" i="3"/>
  <c r="R58" i="3"/>
  <c r="P58" i="3"/>
  <c r="V57" i="3"/>
  <c r="T57" i="3"/>
  <c r="R57" i="3"/>
  <c r="P57" i="3"/>
  <c r="N61" i="3"/>
  <c r="L61" i="3"/>
  <c r="N60" i="3"/>
  <c r="L60" i="3"/>
  <c r="N59" i="3"/>
  <c r="L59" i="3"/>
  <c r="N58" i="3"/>
  <c r="L58" i="3"/>
  <c r="N57" i="3"/>
  <c r="L57" i="3"/>
  <c r="J61" i="3"/>
  <c r="J60" i="3"/>
  <c r="J59" i="3"/>
  <c r="J58" i="3"/>
  <c r="J57" i="3"/>
  <c r="D61" i="3"/>
  <c r="F61" i="3" s="1"/>
  <c r="H61" i="3"/>
  <c r="D60" i="3"/>
  <c r="F60" i="3" s="1"/>
  <c r="H60" i="3"/>
  <c r="D59" i="3"/>
  <c r="F59" i="3" s="1"/>
  <c r="D58" i="3"/>
  <c r="F58" i="3" s="1"/>
  <c r="H59" i="3"/>
  <c r="H58" i="3"/>
  <c r="H57" i="3"/>
  <c r="D57" i="3"/>
  <c r="F57" i="3" s="1"/>
  <c r="AD56" i="3"/>
  <c r="AB56" i="3"/>
  <c r="Z56" i="3"/>
  <c r="X56" i="3"/>
  <c r="AD55" i="3"/>
  <c r="AB55" i="3"/>
  <c r="Z55" i="3"/>
  <c r="X55" i="3"/>
  <c r="AD54" i="3"/>
  <c r="AB54" i="3"/>
  <c r="Z54" i="3"/>
  <c r="X54" i="3"/>
  <c r="AD53" i="3"/>
  <c r="AB53" i="3"/>
  <c r="Z53" i="3"/>
  <c r="X53" i="3"/>
  <c r="V56" i="3"/>
  <c r="T56" i="3"/>
  <c r="R56" i="3"/>
  <c r="P56" i="3"/>
  <c r="V55" i="3"/>
  <c r="T55" i="3"/>
  <c r="R55" i="3"/>
  <c r="P55" i="3"/>
  <c r="V54" i="3"/>
  <c r="T54" i="3"/>
  <c r="R54" i="3"/>
  <c r="P54" i="3"/>
  <c r="V53" i="3"/>
  <c r="T53" i="3"/>
  <c r="R53" i="3"/>
  <c r="P53" i="3"/>
  <c r="N56" i="3"/>
  <c r="L56" i="3"/>
  <c r="N55" i="3"/>
  <c r="L55" i="3"/>
  <c r="N54" i="3"/>
  <c r="L54" i="3"/>
  <c r="N53" i="3"/>
  <c r="L53" i="3"/>
  <c r="J56" i="3"/>
  <c r="J55" i="3"/>
  <c r="J54" i="3"/>
  <c r="J53" i="3"/>
  <c r="H56" i="3"/>
  <c r="H55" i="3"/>
  <c r="H54" i="3"/>
  <c r="H53" i="3"/>
  <c r="D53" i="3"/>
  <c r="F53" i="3" s="1"/>
  <c r="D54" i="3"/>
  <c r="F54" i="3" s="1"/>
  <c r="D55" i="3"/>
  <c r="F55" i="3" s="1"/>
  <c r="D56" i="3"/>
  <c r="F56" i="3" s="1"/>
  <c r="AD51" i="3"/>
  <c r="AB51" i="3"/>
  <c r="Z51" i="3"/>
  <c r="X51" i="3"/>
  <c r="AD50" i="3"/>
  <c r="AB50" i="3"/>
  <c r="Z50" i="3"/>
  <c r="X50" i="3"/>
  <c r="AD49" i="3"/>
  <c r="AB49" i="3"/>
  <c r="Z49" i="3"/>
  <c r="X49" i="3"/>
  <c r="AD48" i="3"/>
  <c r="AB48" i="3"/>
  <c r="Z48" i="3"/>
  <c r="X48" i="3"/>
  <c r="V51" i="3"/>
  <c r="T51" i="3"/>
  <c r="R51" i="3"/>
  <c r="P51" i="3"/>
  <c r="V50" i="3"/>
  <c r="T50" i="3"/>
  <c r="R50" i="3"/>
  <c r="P50" i="3"/>
  <c r="V49" i="3"/>
  <c r="T49" i="3"/>
  <c r="R49" i="3"/>
  <c r="P49" i="3"/>
  <c r="V48" i="3"/>
  <c r="T48" i="3"/>
  <c r="R48" i="3"/>
  <c r="P48" i="3"/>
  <c r="N51" i="3"/>
  <c r="L51" i="3"/>
  <c r="N50" i="3"/>
  <c r="L50" i="3"/>
  <c r="N49" i="3"/>
  <c r="L49" i="3"/>
  <c r="N48" i="3"/>
  <c r="L48" i="3"/>
  <c r="J51" i="3"/>
  <c r="J50" i="3"/>
  <c r="J49" i="3"/>
  <c r="J48" i="3"/>
  <c r="AD47" i="3"/>
  <c r="AB47" i="3"/>
  <c r="Z47" i="3"/>
  <c r="X47" i="3"/>
  <c r="AD46" i="3"/>
  <c r="AB46" i="3"/>
  <c r="Z46" i="3"/>
  <c r="X46" i="3"/>
  <c r="AD45" i="3"/>
  <c r="AB45" i="3"/>
  <c r="Z45" i="3"/>
  <c r="X45" i="3"/>
  <c r="AD44" i="3"/>
  <c r="AB44" i="3"/>
  <c r="Z44" i="3"/>
  <c r="X44" i="3"/>
  <c r="AD43" i="3"/>
  <c r="AB43" i="3"/>
  <c r="Z43" i="3"/>
  <c r="X43" i="3"/>
  <c r="AD42" i="3"/>
  <c r="AB42" i="3"/>
  <c r="Z42" i="3"/>
  <c r="X42" i="3"/>
  <c r="V47" i="3"/>
  <c r="T47" i="3"/>
  <c r="R47" i="3"/>
  <c r="P47" i="3"/>
  <c r="V46" i="3"/>
  <c r="T46" i="3"/>
  <c r="R46" i="3"/>
  <c r="P46" i="3"/>
  <c r="V45" i="3"/>
  <c r="T45" i="3"/>
  <c r="R45" i="3"/>
  <c r="P45" i="3"/>
  <c r="V44" i="3"/>
  <c r="T44" i="3"/>
  <c r="R44" i="3"/>
  <c r="P44" i="3"/>
  <c r="V43" i="3"/>
  <c r="T43" i="3"/>
  <c r="R43" i="3"/>
  <c r="P43" i="3"/>
  <c r="V42" i="3"/>
  <c r="T42" i="3"/>
  <c r="R42" i="3"/>
  <c r="P42" i="3"/>
  <c r="N47" i="3"/>
  <c r="L47" i="3"/>
  <c r="N46" i="3"/>
  <c r="L46" i="3"/>
  <c r="N45" i="3"/>
  <c r="L45" i="3"/>
  <c r="N44" i="3"/>
  <c r="L44" i="3"/>
  <c r="N43" i="3"/>
  <c r="L43" i="3"/>
  <c r="N42" i="3"/>
  <c r="L42" i="3"/>
  <c r="J47" i="3"/>
  <c r="J46" i="3"/>
  <c r="J45" i="3"/>
  <c r="J44" i="3"/>
  <c r="J43" i="3"/>
  <c r="J42" i="3"/>
  <c r="AD41" i="3"/>
  <c r="AB41" i="3"/>
  <c r="Z41" i="3"/>
  <c r="X41" i="3"/>
  <c r="V41" i="3"/>
  <c r="T41" i="3"/>
  <c r="R41" i="3"/>
  <c r="P41" i="3"/>
  <c r="N41" i="3"/>
  <c r="AD40" i="3"/>
  <c r="AB40" i="3"/>
  <c r="Z40" i="3"/>
  <c r="AD39" i="3"/>
  <c r="AB39" i="3"/>
  <c r="Z39" i="3"/>
  <c r="AD38" i="3"/>
  <c r="AB38" i="3"/>
  <c r="Z38" i="3"/>
  <c r="AD37" i="3"/>
  <c r="AB37" i="3"/>
  <c r="Z37" i="3"/>
  <c r="AD36" i="3"/>
  <c r="AB36" i="3"/>
  <c r="Z36" i="3"/>
  <c r="X40" i="3"/>
  <c r="V40" i="3"/>
  <c r="T40" i="3"/>
  <c r="X39" i="3"/>
  <c r="V39" i="3"/>
  <c r="T39" i="3"/>
  <c r="X38" i="3"/>
  <c r="V38" i="3"/>
  <c r="T38" i="3"/>
  <c r="X37" i="3"/>
  <c r="V37" i="3"/>
  <c r="T37" i="3"/>
  <c r="X36" i="3"/>
  <c r="V36" i="3"/>
  <c r="T36" i="3"/>
  <c r="R40" i="3"/>
  <c r="P40" i="3"/>
  <c r="N40" i="3"/>
  <c r="R39" i="3"/>
  <c r="P39" i="3"/>
  <c r="N39" i="3"/>
  <c r="R38" i="3"/>
  <c r="P38" i="3"/>
  <c r="N38" i="3"/>
  <c r="R37" i="3"/>
  <c r="P37" i="3"/>
  <c r="N37" i="3"/>
  <c r="R36" i="3"/>
  <c r="P36" i="3"/>
  <c r="N36" i="3"/>
  <c r="L38" i="3"/>
  <c r="J38" i="3"/>
  <c r="L39" i="3"/>
  <c r="J39" i="3"/>
  <c r="L37" i="3"/>
  <c r="J37" i="3"/>
  <c r="L40" i="3"/>
  <c r="J40" i="3"/>
  <c r="L41" i="3"/>
  <c r="J41" i="3"/>
  <c r="L36" i="3" l="1"/>
  <c r="J36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AD22" i="3"/>
  <c r="AB22" i="3"/>
  <c r="Z22" i="3"/>
  <c r="X22" i="3"/>
  <c r="AD21" i="3"/>
  <c r="AB21" i="3"/>
  <c r="Z21" i="3"/>
  <c r="X21" i="3"/>
  <c r="AD20" i="3"/>
  <c r="AB20" i="3"/>
  <c r="Z20" i="3"/>
  <c r="X20" i="3"/>
  <c r="AD19" i="3"/>
  <c r="AB19" i="3"/>
  <c r="Z19" i="3"/>
  <c r="X19" i="3"/>
  <c r="AD18" i="3"/>
  <c r="AB18" i="3"/>
  <c r="Z18" i="3"/>
  <c r="X18" i="3"/>
  <c r="AD17" i="3"/>
  <c r="AB17" i="3"/>
  <c r="Z17" i="3"/>
  <c r="X17" i="3"/>
  <c r="AD16" i="3"/>
  <c r="AB16" i="3"/>
  <c r="Z16" i="3"/>
  <c r="X16" i="3"/>
  <c r="AD15" i="3"/>
  <c r="AB15" i="3"/>
  <c r="Z15" i="3"/>
  <c r="X15" i="3"/>
  <c r="AD14" i="3"/>
  <c r="AB14" i="3"/>
  <c r="Z14" i="3"/>
  <c r="X14" i="3"/>
  <c r="V22" i="3"/>
  <c r="T22" i="3"/>
  <c r="R22" i="3"/>
  <c r="P22" i="3"/>
  <c r="V21" i="3"/>
  <c r="T21" i="3"/>
  <c r="R21" i="3"/>
  <c r="P21" i="3"/>
  <c r="V20" i="3"/>
  <c r="T20" i="3"/>
  <c r="R20" i="3"/>
  <c r="P20" i="3"/>
  <c r="V19" i="3"/>
  <c r="T19" i="3"/>
  <c r="R19" i="3"/>
  <c r="P19" i="3"/>
  <c r="V18" i="3"/>
  <c r="T18" i="3"/>
  <c r="R18" i="3"/>
  <c r="P18" i="3"/>
  <c r="V17" i="3"/>
  <c r="T17" i="3"/>
  <c r="R17" i="3"/>
  <c r="P17" i="3"/>
  <c r="V16" i="3"/>
  <c r="T16" i="3"/>
  <c r="R16" i="3"/>
  <c r="P16" i="3"/>
  <c r="V15" i="3"/>
  <c r="T15" i="3"/>
  <c r="R15" i="3"/>
  <c r="P15" i="3"/>
  <c r="V14" i="3"/>
  <c r="T14" i="3"/>
  <c r="R14" i="3"/>
  <c r="P14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L14" i="3"/>
  <c r="J22" i="3"/>
  <c r="J21" i="3"/>
  <c r="J20" i="3"/>
  <c r="J19" i="3"/>
  <c r="J18" i="3"/>
  <c r="J17" i="3"/>
  <c r="J16" i="3"/>
  <c r="J15" i="3"/>
  <c r="J14" i="3"/>
  <c r="AD13" i="3"/>
  <c r="AB13" i="3"/>
  <c r="Z13" i="3"/>
  <c r="X13" i="3"/>
  <c r="V13" i="3"/>
  <c r="T13" i="3"/>
  <c r="R13" i="3"/>
  <c r="P13" i="3"/>
  <c r="N13" i="3"/>
  <c r="L13" i="3"/>
  <c r="J13" i="3"/>
  <c r="H22" i="3"/>
  <c r="H21" i="3"/>
  <c r="H20" i="3"/>
  <c r="H19" i="3"/>
  <c r="H16" i="3"/>
  <c r="H18" i="3"/>
  <c r="H17" i="3"/>
  <c r="H15" i="3"/>
  <c r="H14" i="3"/>
  <c r="H13" i="3"/>
  <c r="AD10" i="3"/>
  <c r="AB10" i="3"/>
  <c r="AD9" i="3"/>
  <c r="AB9" i="3"/>
  <c r="Z10" i="3"/>
  <c r="X10" i="3"/>
  <c r="V10" i="3"/>
  <c r="T10" i="3"/>
  <c r="Z9" i="3"/>
  <c r="X9" i="3"/>
  <c r="V9" i="3"/>
  <c r="T9" i="3"/>
  <c r="R10" i="3"/>
  <c r="P10" i="3"/>
  <c r="N10" i="3"/>
  <c r="R9" i="3"/>
  <c r="P9" i="3"/>
  <c r="N9" i="3"/>
  <c r="L10" i="3"/>
  <c r="L9" i="3"/>
  <c r="J10" i="3"/>
  <c r="J9" i="3"/>
  <c r="H10" i="3"/>
  <c r="H9" i="3"/>
  <c r="AD12" i="3"/>
  <c r="AD11" i="3"/>
  <c r="AB12" i="3"/>
  <c r="AB11" i="3"/>
  <c r="Z12" i="3"/>
  <c r="Z11" i="3"/>
  <c r="X12" i="3"/>
  <c r="X11" i="3"/>
  <c r="V12" i="3"/>
  <c r="V11" i="3"/>
  <c r="T12" i="3"/>
  <c r="T11" i="3"/>
  <c r="R12" i="3"/>
  <c r="R11" i="3"/>
  <c r="P12" i="3"/>
  <c r="P11" i="3"/>
  <c r="N12" i="3"/>
  <c r="N11" i="3"/>
  <c r="L12" i="3"/>
  <c r="L11" i="3"/>
  <c r="J12" i="3"/>
  <c r="J11" i="3"/>
  <c r="H12" i="3"/>
  <c r="H11" i="3"/>
  <c r="D36" i="3"/>
  <c r="F36" i="3" s="1"/>
  <c r="D37" i="3"/>
  <c r="F37" i="3" s="1"/>
  <c r="D38" i="3"/>
  <c r="F38" i="3" s="1"/>
  <c r="D39" i="3"/>
  <c r="F39" i="3" s="1"/>
  <c r="D40" i="3"/>
  <c r="F40" i="3" s="1"/>
  <c r="D41" i="3"/>
  <c r="F41" i="3" s="1"/>
  <c r="D42" i="3"/>
  <c r="F42" i="3" s="1"/>
  <c r="D43" i="3"/>
  <c r="F43" i="3" s="1"/>
  <c r="D44" i="3"/>
  <c r="F44" i="3" s="1"/>
  <c r="D45" i="3"/>
  <c r="F45" i="3" s="1"/>
  <c r="D46" i="3"/>
  <c r="F46" i="3" s="1"/>
  <c r="D47" i="3"/>
  <c r="F47" i="3" s="1"/>
  <c r="D48" i="3"/>
  <c r="F48" i="3" s="1"/>
  <c r="D49" i="3"/>
  <c r="F49" i="3" s="1"/>
  <c r="D50" i="3"/>
  <c r="F50" i="3" s="1"/>
  <c r="D51" i="3"/>
  <c r="F51" i="3" s="1"/>
  <c r="D9" i="3"/>
  <c r="F9" i="3" s="1"/>
  <c r="D10" i="3"/>
  <c r="F10" i="3" s="1"/>
  <c r="D11" i="3"/>
  <c r="F11" i="3" s="1"/>
  <c r="D12" i="3"/>
  <c r="F12" i="3" s="1"/>
  <c r="D13" i="3"/>
  <c r="F13" i="3" s="1"/>
  <c r="D15" i="3"/>
  <c r="F15" i="3" s="1"/>
  <c r="D16" i="3"/>
  <c r="F16" i="3" s="1"/>
  <c r="D17" i="3"/>
  <c r="F17" i="3" s="1"/>
  <c r="D18" i="3"/>
  <c r="F18" i="3" s="1"/>
  <c r="D19" i="3"/>
  <c r="F19" i="3" s="1"/>
  <c r="D20" i="3"/>
  <c r="F20" i="3" s="1"/>
  <c r="D21" i="3"/>
  <c r="F21" i="3" s="1"/>
  <c r="D22" i="3"/>
  <c r="F22" i="3" s="1"/>
  <c r="AD35" i="3"/>
  <c r="AB35" i="3"/>
  <c r="Z35" i="3"/>
  <c r="X35" i="3"/>
  <c r="V35" i="3"/>
  <c r="T35" i="3"/>
  <c r="AD34" i="3"/>
  <c r="AB34" i="3"/>
  <c r="Z34" i="3"/>
  <c r="X34" i="3"/>
  <c r="V34" i="3"/>
  <c r="T34" i="3"/>
  <c r="D34" i="3"/>
  <c r="F34" i="3" s="1"/>
  <c r="R35" i="3"/>
  <c r="R34" i="3"/>
  <c r="P35" i="3"/>
  <c r="P34" i="3"/>
  <c r="N35" i="3"/>
  <c r="N34" i="3"/>
  <c r="L35" i="3"/>
  <c r="L34" i="3"/>
  <c r="J35" i="3"/>
  <c r="J34" i="3"/>
  <c r="H35" i="3"/>
  <c r="H34" i="3"/>
  <c r="D32" i="3"/>
  <c r="D33" i="3"/>
  <c r="D35" i="3"/>
  <c r="F35" i="3" s="1"/>
  <c r="AD33" i="3" l="1"/>
  <c r="AB33" i="3"/>
  <c r="Z33" i="3"/>
  <c r="AD32" i="3"/>
  <c r="AB32" i="3"/>
  <c r="Z32" i="3"/>
  <c r="X33" i="3"/>
  <c r="V33" i="3"/>
  <c r="T33" i="3"/>
  <c r="X32" i="3"/>
  <c r="V32" i="3"/>
  <c r="T32" i="3"/>
  <c r="R33" i="3"/>
  <c r="P33" i="3"/>
  <c r="N33" i="3"/>
  <c r="R32" i="3"/>
  <c r="P32" i="3"/>
  <c r="N32" i="3"/>
  <c r="L33" i="3"/>
  <c r="L32" i="3"/>
  <c r="J33" i="3"/>
  <c r="J32" i="3"/>
  <c r="H33" i="3"/>
  <c r="H32" i="3"/>
  <c r="F33" i="3"/>
  <c r="F32" i="3"/>
  <c r="F31" i="3"/>
  <c r="AD31" i="3"/>
  <c r="AB31" i="3"/>
  <c r="Z31" i="3"/>
  <c r="AD30" i="3"/>
  <c r="AB30" i="3"/>
  <c r="Z30" i="3"/>
  <c r="X31" i="3"/>
  <c r="V31" i="3"/>
  <c r="T31" i="3"/>
  <c r="X30" i="3"/>
  <c r="V30" i="3"/>
  <c r="T30" i="3"/>
  <c r="R31" i="3"/>
  <c r="P31" i="3"/>
  <c r="N31" i="3"/>
  <c r="R30" i="3"/>
  <c r="P30" i="3"/>
  <c r="N30" i="3"/>
  <c r="L31" i="3"/>
  <c r="L30" i="3"/>
  <c r="J31" i="3"/>
  <c r="J30" i="3"/>
  <c r="H31" i="3"/>
  <c r="H30" i="3"/>
  <c r="AD29" i="3"/>
  <c r="AB29" i="3"/>
  <c r="Z29" i="3"/>
  <c r="AD28" i="3"/>
  <c r="AB28" i="3"/>
  <c r="Z28" i="3"/>
  <c r="X29" i="3"/>
  <c r="V29" i="3"/>
  <c r="T29" i="3"/>
  <c r="X28" i="3"/>
  <c r="V28" i="3"/>
  <c r="T28" i="3"/>
  <c r="R29" i="3"/>
  <c r="P29" i="3"/>
  <c r="N29" i="3"/>
  <c r="R28" i="3"/>
  <c r="P28" i="3"/>
  <c r="N28" i="3"/>
  <c r="L29" i="3"/>
  <c r="L28" i="3"/>
  <c r="J29" i="3"/>
  <c r="J28" i="3"/>
  <c r="H29" i="3"/>
  <c r="H28" i="3"/>
  <c r="F28" i="3"/>
  <c r="D29" i="3"/>
  <c r="F29" i="3" s="1"/>
  <c r="D24" i="3"/>
  <c r="F24" i="3" s="1"/>
  <c r="D25" i="3"/>
  <c r="F25" i="3" s="1"/>
  <c r="D26" i="3"/>
  <c r="F26" i="3" s="1"/>
  <c r="D27" i="3"/>
  <c r="F27" i="3" s="1"/>
  <c r="D23" i="3"/>
  <c r="F23" i="3" s="1"/>
  <c r="AD27" i="3"/>
  <c r="AD26" i="3"/>
  <c r="AD25" i="3"/>
  <c r="AD24" i="3"/>
  <c r="AD23" i="3"/>
  <c r="AB27" i="3"/>
  <c r="Z27" i="3"/>
  <c r="X27" i="3"/>
  <c r="AB26" i="3"/>
  <c r="Z26" i="3"/>
  <c r="X26" i="3"/>
  <c r="AB25" i="3"/>
  <c r="Z25" i="3"/>
  <c r="X25" i="3"/>
  <c r="AB24" i="3"/>
  <c r="Z24" i="3"/>
  <c r="X24" i="3"/>
  <c r="AB23" i="3"/>
  <c r="Z23" i="3"/>
  <c r="X23" i="3"/>
  <c r="V27" i="3"/>
  <c r="T27" i="3"/>
  <c r="R27" i="3"/>
  <c r="V26" i="3"/>
  <c r="T26" i="3"/>
  <c r="R26" i="3"/>
  <c r="V25" i="3"/>
  <c r="T25" i="3"/>
  <c r="R25" i="3"/>
  <c r="V24" i="3"/>
  <c r="T24" i="3"/>
  <c r="R24" i="3"/>
  <c r="V23" i="3"/>
  <c r="T23" i="3"/>
  <c r="R23" i="3"/>
  <c r="N27" i="3"/>
  <c r="N26" i="3"/>
  <c r="N25" i="3"/>
  <c r="N24" i="3"/>
  <c r="N23" i="3"/>
  <c r="L27" i="3"/>
  <c r="L26" i="3"/>
  <c r="L25" i="3"/>
  <c r="L24" i="3"/>
  <c r="L23" i="3"/>
  <c r="P27" i="3"/>
  <c r="P26" i="3"/>
  <c r="P25" i="3"/>
  <c r="P24" i="3"/>
  <c r="P23" i="3"/>
  <c r="J27" i="3"/>
  <c r="J26" i="3"/>
  <c r="J25" i="3"/>
  <c r="J24" i="3"/>
  <c r="J23" i="3"/>
  <c r="H27" i="3"/>
  <c r="H26" i="3"/>
  <c r="H25" i="3"/>
  <c r="H24" i="3"/>
  <c r="H23" i="3"/>
  <c r="D52" i="3"/>
  <c r="F52" i="3" s="1"/>
  <c r="AB52" i="3"/>
  <c r="Z52" i="3"/>
  <c r="AD52" i="3"/>
  <c r="X52" i="3"/>
  <c r="V52" i="3"/>
  <c r="T52" i="3"/>
  <c r="R52" i="3"/>
  <c r="P52" i="3"/>
  <c r="N52" i="3"/>
  <c r="L52" i="3"/>
  <c r="J52" i="3"/>
  <c r="H52" i="3"/>
  <c r="AD127" i="3"/>
  <c r="AD126" i="3"/>
  <c r="AD125" i="3"/>
  <c r="AB127" i="3"/>
  <c r="AB126" i="3"/>
  <c r="AB125" i="3"/>
  <c r="Z127" i="3"/>
  <c r="Z126" i="3"/>
  <c r="Z125" i="3"/>
  <c r="X127" i="3"/>
  <c r="X126" i="3"/>
  <c r="X125" i="3"/>
  <c r="V127" i="3"/>
  <c r="V126" i="3"/>
  <c r="V125" i="3"/>
  <c r="T127" i="3"/>
  <c r="T126" i="3"/>
  <c r="T125" i="3"/>
  <c r="R127" i="3"/>
  <c r="R126" i="3"/>
  <c r="R125" i="3"/>
  <c r="P127" i="3"/>
  <c r="P126" i="3"/>
  <c r="P125" i="3"/>
  <c r="N127" i="3"/>
  <c r="N126" i="3"/>
  <c r="N125" i="3"/>
  <c r="L127" i="3"/>
  <c r="L126" i="3"/>
  <c r="L125" i="3"/>
  <c r="J127" i="3"/>
  <c r="J126" i="3"/>
  <c r="J125" i="3"/>
  <c r="H127" i="3"/>
  <c r="H126" i="3"/>
  <c r="H125" i="3"/>
  <c r="H68" i="3"/>
  <c r="J68" i="3"/>
  <c r="AD74" i="3"/>
  <c r="AB74" i="3"/>
  <c r="Z74" i="3"/>
  <c r="X74" i="3"/>
  <c r="AD73" i="3"/>
  <c r="AB73" i="3"/>
  <c r="Z73" i="3"/>
  <c r="X73" i="3"/>
  <c r="AD72" i="3"/>
  <c r="AB72" i="3"/>
  <c r="Z72" i="3"/>
  <c r="X72" i="3"/>
  <c r="AD71" i="3"/>
  <c r="AB71" i="3"/>
  <c r="Z71" i="3"/>
  <c r="X71" i="3"/>
  <c r="AD70" i="3"/>
  <c r="AB70" i="3"/>
  <c r="Z70" i="3"/>
  <c r="X70" i="3"/>
  <c r="AD69" i="3"/>
  <c r="AB69" i="3"/>
  <c r="Z69" i="3"/>
  <c r="X69" i="3"/>
  <c r="AD68" i="3"/>
  <c r="AB68" i="3"/>
  <c r="Z68" i="3"/>
  <c r="X68" i="3"/>
  <c r="AD67" i="3"/>
  <c r="AD66" i="3" s="1"/>
  <c r="AB67" i="3"/>
  <c r="AB66" i="3" s="1"/>
  <c r="Z67" i="3"/>
  <c r="Z66" i="3" s="1"/>
  <c r="X67" i="3"/>
  <c r="X66" i="3" s="1"/>
  <c r="V74" i="3"/>
  <c r="T74" i="3"/>
  <c r="R74" i="3"/>
  <c r="P74" i="3"/>
  <c r="V73" i="3"/>
  <c r="T73" i="3"/>
  <c r="R73" i="3"/>
  <c r="P73" i="3"/>
  <c r="V72" i="3"/>
  <c r="T72" i="3"/>
  <c r="R72" i="3"/>
  <c r="P72" i="3"/>
  <c r="V71" i="3"/>
  <c r="T71" i="3"/>
  <c r="R71" i="3"/>
  <c r="P71" i="3"/>
  <c r="V70" i="3"/>
  <c r="T70" i="3"/>
  <c r="R70" i="3"/>
  <c r="P70" i="3"/>
  <c r="V69" i="3"/>
  <c r="T69" i="3"/>
  <c r="R69" i="3"/>
  <c r="P69" i="3"/>
  <c r="V68" i="3"/>
  <c r="T68" i="3"/>
  <c r="R68" i="3"/>
  <c r="P68" i="3"/>
  <c r="V67" i="3"/>
  <c r="V66" i="3" s="1"/>
  <c r="T67" i="3"/>
  <c r="T66" i="3" s="1"/>
  <c r="R67" i="3"/>
  <c r="R66" i="3" s="1"/>
  <c r="P67" i="3"/>
  <c r="P66" i="3" s="1"/>
  <c r="N74" i="3"/>
  <c r="N73" i="3"/>
  <c r="N72" i="3"/>
  <c r="N71" i="3"/>
  <c r="N70" i="3"/>
  <c r="N69" i="3"/>
  <c r="L74" i="3"/>
  <c r="L73" i="3"/>
  <c r="L72" i="3"/>
  <c r="L71" i="3"/>
  <c r="L70" i="3"/>
  <c r="L69" i="3"/>
  <c r="J74" i="3"/>
  <c r="J73" i="3"/>
  <c r="J72" i="3"/>
  <c r="J71" i="3"/>
  <c r="J70" i="3"/>
  <c r="J69" i="3"/>
  <c r="N68" i="3"/>
  <c r="L68" i="3"/>
  <c r="N67" i="3"/>
  <c r="L67" i="3"/>
  <c r="J67" i="3"/>
  <c r="H74" i="3"/>
  <c r="H73" i="3"/>
  <c r="H72" i="3"/>
  <c r="H71" i="3"/>
  <c r="H70" i="3"/>
  <c r="H69" i="3"/>
  <c r="D74" i="3"/>
  <c r="F74" i="3" s="1"/>
  <c r="D73" i="3"/>
  <c r="F73" i="3" s="1"/>
  <c r="D72" i="3"/>
  <c r="F72" i="3" s="1"/>
  <c r="F71" i="3"/>
  <c r="D70" i="3"/>
  <c r="F70" i="3" s="1"/>
  <c r="D69" i="3"/>
  <c r="F69" i="3" s="1"/>
  <c r="D68" i="3"/>
  <c r="F67" i="3"/>
  <c r="H67" i="3"/>
  <c r="J124" i="3" l="1"/>
  <c r="N124" i="3"/>
  <c r="R124" i="3"/>
  <c r="V124" i="3"/>
  <c r="Z124" i="3"/>
  <c r="AD124" i="3"/>
  <c r="P8" i="3"/>
  <c r="H124" i="3"/>
  <c r="L124" i="3"/>
  <c r="P124" i="3"/>
  <c r="T124" i="3"/>
  <c r="X124" i="3"/>
  <c r="AB124" i="3"/>
  <c r="T8" i="3"/>
  <c r="X8" i="3"/>
  <c r="AB8" i="3"/>
  <c r="V8" i="3"/>
  <c r="N8" i="3"/>
  <c r="AD8" i="3"/>
  <c r="Z8" i="3"/>
  <c r="R8" i="3"/>
  <c r="J8" i="3"/>
  <c r="L8" i="3"/>
  <c r="H8" i="3"/>
  <c r="L66" i="3"/>
  <c r="H66" i="3"/>
  <c r="N66" i="3"/>
  <c r="J66" i="3"/>
  <c r="F68" i="3"/>
  <c r="F66" i="3" s="1"/>
  <c r="AD98" i="3" l="1"/>
  <c r="AB98" i="3"/>
  <c r="Z98" i="3"/>
  <c r="X98" i="3"/>
  <c r="V98" i="3"/>
  <c r="T98" i="3"/>
  <c r="R98" i="3"/>
  <c r="P98" i="3"/>
  <c r="N98" i="3"/>
  <c r="L98" i="3"/>
  <c r="J98" i="3"/>
  <c r="H98" i="3"/>
  <c r="AD97" i="3"/>
  <c r="AB97" i="3"/>
  <c r="Z97" i="3"/>
  <c r="X97" i="3"/>
  <c r="V97" i="3"/>
  <c r="R97" i="3"/>
  <c r="T97" i="3"/>
  <c r="P97" i="3"/>
  <c r="N97" i="3"/>
  <c r="L97" i="3"/>
  <c r="J97" i="3"/>
  <c r="H97" i="3"/>
  <c r="AD96" i="3"/>
  <c r="AB96" i="3"/>
  <c r="Z96" i="3"/>
  <c r="X96" i="3"/>
  <c r="V96" i="3"/>
  <c r="T96" i="3"/>
  <c r="R96" i="3"/>
  <c r="P96" i="3"/>
  <c r="N96" i="3"/>
  <c r="L96" i="3"/>
  <c r="J96" i="3"/>
  <c r="H96" i="3"/>
  <c r="AD95" i="3"/>
  <c r="AB95" i="3"/>
  <c r="Z95" i="3"/>
  <c r="X95" i="3"/>
  <c r="V95" i="3"/>
  <c r="T95" i="3"/>
  <c r="R95" i="3"/>
  <c r="P95" i="3"/>
  <c r="N95" i="3"/>
  <c r="L95" i="3"/>
  <c r="J95" i="3"/>
  <c r="H95" i="3"/>
  <c r="AD94" i="3"/>
  <c r="AB94" i="3"/>
  <c r="Z94" i="3"/>
  <c r="X94" i="3"/>
  <c r="V94" i="3"/>
  <c r="T94" i="3"/>
  <c r="R94" i="3"/>
  <c r="P94" i="3"/>
  <c r="N94" i="3"/>
  <c r="L94" i="3"/>
  <c r="J94" i="3"/>
  <c r="H94" i="3"/>
  <c r="AD93" i="3"/>
  <c r="AB93" i="3"/>
  <c r="Z93" i="3"/>
  <c r="X93" i="3"/>
  <c r="V93" i="3"/>
  <c r="T93" i="3"/>
  <c r="R93" i="3"/>
  <c r="P93" i="3"/>
  <c r="N93" i="3"/>
  <c r="L93" i="3"/>
  <c r="J93" i="3"/>
  <c r="H93" i="3"/>
  <c r="AD91" i="3"/>
  <c r="AB91" i="3"/>
  <c r="Z91" i="3"/>
  <c r="X91" i="3"/>
  <c r="V91" i="3"/>
  <c r="T91" i="3"/>
  <c r="R91" i="3"/>
  <c r="P91" i="3"/>
  <c r="N91" i="3"/>
  <c r="L91" i="3"/>
  <c r="J91" i="3"/>
  <c r="H91" i="3"/>
  <c r="AD90" i="3"/>
  <c r="AB90" i="3"/>
  <c r="Z90" i="3"/>
  <c r="X90" i="3"/>
  <c r="V90" i="3"/>
  <c r="T90" i="3"/>
  <c r="R90" i="3"/>
  <c r="P90" i="3"/>
  <c r="N90" i="3"/>
  <c r="L90" i="3"/>
  <c r="J90" i="3"/>
  <c r="H90" i="3"/>
  <c r="AD89" i="3"/>
  <c r="AB89" i="3"/>
  <c r="Z89" i="3"/>
  <c r="X89" i="3"/>
  <c r="V89" i="3"/>
  <c r="T89" i="3"/>
  <c r="R89" i="3"/>
  <c r="P89" i="3"/>
  <c r="N89" i="3"/>
  <c r="L89" i="3"/>
  <c r="J89" i="3"/>
  <c r="H89" i="3"/>
  <c r="AD88" i="3"/>
  <c r="AB88" i="3"/>
  <c r="Z88" i="3"/>
  <c r="X88" i="3"/>
  <c r="V88" i="3"/>
  <c r="T88" i="3"/>
  <c r="R88" i="3"/>
  <c r="P88" i="3"/>
  <c r="N88" i="3"/>
  <c r="L88" i="3"/>
  <c r="J88" i="3"/>
  <c r="H88" i="3"/>
  <c r="D93" i="3"/>
  <c r="F93" i="3" s="1"/>
  <c r="D94" i="3"/>
  <c r="F94" i="3" s="1"/>
  <c r="D95" i="3"/>
  <c r="F95" i="3" s="1"/>
  <c r="D96" i="3"/>
  <c r="F96" i="3" s="1"/>
  <c r="D97" i="3"/>
  <c r="F97" i="3" s="1"/>
  <c r="D98" i="3"/>
  <c r="F98" i="3" s="1"/>
  <c r="D88" i="3"/>
  <c r="F88" i="3" s="1"/>
  <c r="D89" i="3"/>
  <c r="F89" i="3" s="1"/>
  <c r="D90" i="3"/>
  <c r="F90" i="3" s="1"/>
  <c r="D91" i="3"/>
  <c r="F91" i="3" s="1"/>
  <c r="D92" i="3"/>
  <c r="D87" i="3"/>
  <c r="F87" i="3" s="1"/>
  <c r="AD87" i="3"/>
  <c r="AB87" i="3"/>
  <c r="Z87" i="3"/>
  <c r="X87" i="3"/>
  <c r="V87" i="3"/>
  <c r="T87" i="3"/>
  <c r="R87" i="3"/>
  <c r="P87" i="3"/>
  <c r="N87" i="3"/>
  <c r="L87" i="3"/>
  <c r="J87" i="3"/>
  <c r="H87" i="3"/>
  <c r="AD86" i="3"/>
  <c r="AB86" i="3"/>
  <c r="Z86" i="3"/>
  <c r="X86" i="3"/>
  <c r="V86" i="3"/>
  <c r="T86" i="3"/>
  <c r="R86" i="3"/>
  <c r="P86" i="3"/>
  <c r="N86" i="3"/>
  <c r="L86" i="3"/>
  <c r="J86" i="3"/>
  <c r="H86" i="3"/>
  <c r="D81" i="3"/>
  <c r="D82" i="3"/>
  <c r="D83" i="3"/>
  <c r="F83" i="3" s="1"/>
  <c r="AD83" i="3"/>
  <c r="AB83" i="3"/>
  <c r="Z83" i="3"/>
  <c r="X83" i="3"/>
  <c r="V83" i="3"/>
  <c r="T83" i="3"/>
  <c r="R83" i="3"/>
  <c r="P83" i="3"/>
  <c r="N83" i="3"/>
  <c r="L83" i="3"/>
  <c r="J83" i="3"/>
  <c r="H83" i="3"/>
  <c r="AD82" i="3"/>
  <c r="AB82" i="3"/>
  <c r="Z82" i="3"/>
  <c r="X82" i="3"/>
  <c r="V82" i="3"/>
  <c r="T82" i="3"/>
  <c r="R82" i="3"/>
  <c r="P82" i="3"/>
  <c r="N82" i="3"/>
  <c r="L82" i="3"/>
  <c r="J82" i="3"/>
  <c r="H82" i="3"/>
  <c r="F82" i="3"/>
  <c r="AD81" i="3"/>
  <c r="AB81" i="3"/>
  <c r="Z81" i="3"/>
  <c r="X81" i="3"/>
  <c r="V81" i="3"/>
  <c r="T81" i="3"/>
  <c r="R81" i="3"/>
  <c r="P81" i="3"/>
  <c r="N81" i="3"/>
  <c r="L81" i="3"/>
  <c r="J81" i="3"/>
  <c r="H81" i="3"/>
  <c r="F81" i="3"/>
  <c r="AD80" i="3"/>
  <c r="AB80" i="3"/>
  <c r="Z80" i="3"/>
  <c r="X80" i="3"/>
  <c r="V80" i="3"/>
  <c r="T80" i="3"/>
  <c r="R80" i="3"/>
  <c r="P80" i="3"/>
  <c r="N80" i="3"/>
  <c r="L80" i="3"/>
  <c r="J80" i="3"/>
  <c r="H80" i="3"/>
  <c r="D78" i="3"/>
  <c r="F78" i="3" s="1"/>
  <c r="AD78" i="3"/>
  <c r="AB78" i="3"/>
  <c r="Z78" i="3"/>
  <c r="X78" i="3"/>
  <c r="V78" i="3"/>
  <c r="T78" i="3"/>
  <c r="R78" i="3"/>
  <c r="P78" i="3"/>
  <c r="N78" i="3"/>
  <c r="L78" i="3"/>
  <c r="J78" i="3"/>
  <c r="H78" i="3"/>
  <c r="AD92" i="3"/>
  <c r="AB92" i="3"/>
  <c r="Z92" i="3"/>
  <c r="X92" i="3"/>
  <c r="V92" i="3"/>
  <c r="T92" i="3"/>
  <c r="R92" i="3"/>
  <c r="P92" i="3"/>
  <c r="N92" i="3"/>
  <c r="L92" i="3"/>
  <c r="J92" i="3"/>
  <c r="AD85" i="3"/>
  <c r="AB85" i="3"/>
  <c r="Z85" i="3"/>
  <c r="X85" i="3"/>
  <c r="V85" i="3"/>
  <c r="T85" i="3"/>
  <c r="R85" i="3"/>
  <c r="P85" i="3"/>
  <c r="N85" i="3"/>
  <c r="L85" i="3"/>
  <c r="J85" i="3"/>
  <c r="H85" i="3"/>
  <c r="H92" i="3"/>
  <c r="D80" i="3"/>
  <c r="F80" i="3" s="1"/>
  <c r="AD84" i="3" l="1"/>
  <c r="AB84" i="3"/>
  <c r="Z84" i="3"/>
  <c r="X84" i="3"/>
  <c r="V84" i="3"/>
  <c r="T84" i="3"/>
  <c r="R84" i="3"/>
  <c r="P84" i="3"/>
  <c r="N84" i="3"/>
  <c r="L84" i="3"/>
  <c r="J84" i="3"/>
  <c r="H84" i="3"/>
  <c r="AD79" i="3"/>
  <c r="AD77" i="3" s="1"/>
  <c r="AB79" i="3"/>
  <c r="AB77" i="3" s="1"/>
  <c r="Z79" i="3"/>
  <c r="Z77" i="3" s="1"/>
  <c r="X79" i="3"/>
  <c r="X77" i="3" s="1"/>
  <c r="V79" i="3"/>
  <c r="V77" i="3" s="1"/>
  <c r="T79" i="3"/>
  <c r="T77" i="3" s="1"/>
  <c r="R79" i="3"/>
  <c r="R77" i="3" s="1"/>
  <c r="P79" i="3"/>
  <c r="P77" i="3" s="1"/>
  <c r="N79" i="3"/>
  <c r="N77" i="3" s="1"/>
  <c r="L79" i="3"/>
  <c r="L77" i="3" s="1"/>
  <c r="J79" i="3"/>
  <c r="J77" i="3" s="1"/>
  <c r="H79" i="3"/>
  <c r="H77" i="3" s="1"/>
  <c r="D86" i="3"/>
  <c r="F86" i="3" s="1"/>
  <c r="D85" i="3"/>
  <c r="F85" i="3" s="1"/>
  <c r="D79" i="3"/>
  <c r="F79" i="3" s="1"/>
  <c r="F92" i="3"/>
  <c r="D84" i="3"/>
  <c r="F84" i="3" s="1"/>
  <c r="D127" i="3"/>
  <c r="F127" i="3" s="1"/>
  <c r="D126" i="3"/>
  <c r="F126" i="3" s="1"/>
  <c r="D125" i="3"/>
  <c r="F125" i="3" s="1"/>
  <c r="F124" i="3" l="1"/>
  <c r="F217" i="3"/>
  <c r="F215" i="3"/>
  <c r="F213" i="3"/>
  <c r="F207" i="3"/>
  <c r="F205" i="3"/>
  <c r="F203" i="3"/>
  <c r="F198" i="3"/>
  <c r="F195" i="3"/>
  <c r="F193" i="3"/>
  <c r="F190" i="3"/>
  <c r="F188" i="3"/>
  <c r="F186" i="3"/>
  <c r="F184" i="3"/>
  <c r="F182" i="3"/>
  <c r="F180" i="3"/>
  <c r="F178" i="3"/>
  <c r="F174" i="3"/>
  <c r="F154" i="3"/>
  <c r="F134" i="3"/>
  <c r="F77" i="3"/>
  <c r="F75" i="3"/>
  <c r="F156" i="3" l="1"/>
  <c r="F147" i="3"/>
  <c r="F136" i="3"/>
  <c r="F133" i="3" s="1"/>
  <c r="F209" i="3"/>
  <c r="F202" i="3" s="1"/>
  <c r="F129" i="3"/>
  <c r="F128" i="3" s="1"/>
  <c r="F212" i="3"/>
  <c r="F146" i="3" l="1"/>
  <c r="AD217" i="3" l="1"/>
  <c r="AB217" i="3"/>
  <c r="Z217" i="3"/>
  <c r="X217" i="3"/>
  <c r="V217" i="3"/>
  <c r="T217" i="3"/>
  <c r="R217" i="3"/>
  <c r="P217" i="3"/>
  <c r="N217" i="3"/>
  <c r="L217" i="3"/>
  <c r="J217" i="3"/>
  <c r="H217" i="3"/>
  <c r="AD215" i="3"/>
  <c r="AB215" i="3"/>
  <c r="Z215" i="3"/>
  <c r="X215" i="3"/>
  <c r="V215" i="3"/>
  <c r="T215" i="3"/>
  <c r="R215" i="3"/>
  <c r="P215" i="3"/>
  <c r="N215" i="3"/>
  <c r="L215" i="3"/>
  <c r="J215" i="3"/>
  <c r="H215" i="3"/>
  <c r="AD213" i="3"/>
  <c r="AB213" i="3"/>
  <c r="Z213" i="3"/>
  <c r="X213" i="3"/>
  <c r="V213" i="3"/>
  <c r="T213" i="3"/>
  <c r="R213" i="3"/>
  <c r="P213" i="3"/>
  <c r="N213" i="3"/>
  <c r="L213" i="3"/>
  <c r="J213" i="3"/>
  <c r="H213" i="3"/>
  <c r="AD209" i="3"/>
  <c r="AB209" i="3"/>
  <c r="Z209" i="3"/>
  <c r="X209" i="3"/>
  <c r="V209" i="3"/>
  <c r="T209" i="3"/>
  <c r="R209" i="3"/>
  <c r="P209" i="3"/>
  <c r="N209" i="3"/>
  <c r="L209" i="3"/>
  <c r="J209" i="3"/>
  <c r="H209" i="3"/>
  <c r="AD207" i="3"/>
  <c r="AB207" i="3"/>
  <c r="Z207" i="3"/>
  <c r="X207" i="3"/>
  <c r="V207" i="3"/>
  <c r="T207" i="3"/>
  <c r="R207" i="3"/>
  <c r="P207" i="3"/>
  <c r="N207" i="3"/>
  <c r="L207" i="3"/>
  <c r="J207" i="3"/>
  <c r="H207" i="3"/>
  <c r="AD205" i="3"/>
  <c r="AB205" i="3"/>
  <c r="Z205" i="3"/>
  <c r="X205" i="3"/>
  <c r="V205" i="3"/>
  <c r="T205" i="3"/>
  <c r="R205" i="3"/>
  <c r="P205" i="3"/>
  <c r="N205" i="3"/>
  <c r="L205" i="3"/>
  <c r="J205" i="3"/>
  <c r="H205" i="3"/>
  <c r="AD203" i="3"/>
  <c r="AB203" i="3"/>
  <c r="Z203" i="3"/>
  <c r="X203" i="3"/>
  <c r="V203" i="3"/>
  <c r="T203" i="3"/>
  <c r="R203" i="3"/>
  <c r="P203" i="3"/>
  <c r="N203" i="3"/>
  <c r="L203" i="3"/>
  <c r="J203" i="3"/>
  <c r="H203" i="3"/>
  <c r="AD200" i="3"/>
  <c r="AB200" i="3"/>
  <c r="Z200" i="3"/>
  <c r="X200" i="3"/>
  <c r="V200" i="3"/>
  <c r="T200" i="3"/>
  <c r="R200" i="3"/>
  <c r="P200" i="3"/>
  <c r="N200" i="3"/>
  <c r="L200" i="3"/>
  <c r="J200" i="3"/>
  <c r="H200" i="3"/>
  <c r="AD198" i="3"/>
  <c r="AB198" i="3"/>
  <c r="Z198" i="3"/>
  <c r="X198" i="3"/>
  <c r="V198" i="3"/>
  <c r="T198" i="3"/>
  <c r="R198" i="3"/>
  <c r="P198" i="3"/>
  <c r="N198" i="3"/>
  <c r="L198" i="3"/>
  <c r="J198" i="3"/>
  <c r="H198" i="3"/>
  <c r="AD195" i="3"/>
  <c r="AB195" i="3"/>
  <c r="Z195" i="3"/>
  <c r="X195" i="3"/>
  <c r="V195" i="3"/>
  <c r="T195" i="3"/>
  <c r="R195" i="3"/>
  <c r="P195" i="3"/>
  <c r="N195" i="3"/>
  <c r="L195" i="3"/>
  <c r="J195" i="3"/>
  <c r="H195" i="3"/>
  <c r="AD193" i="3"/>
  <c r="AB193" i="3"/>
  <c r="Z193" i="3"/>
  <c r="X193" i="3"/>
  <c r="V193" i="3"/>
  <c r="T193" i="3"/>
  <c r="R193" i="3"/>
  <c r="P193" i="3"/>
  <c r="N193" i="3"/>
  <c r="L193" i="3"/>
  <c r="J193" i="3"/>
  <c r="H193" i="3"/>
  <c r="AD190" i="3"/>
  <c r="AB190" i="3"/>
  <c r="Z190" i="3"/>
  <c r="X190" i="3"/>
  <c r="V190" i="3"/>
  <c r="T190" i="3"/>
  <c r="R190" i="3"/>
  <c r="P190" i="3"/>
  <c r="N190" i="3"/>
  <c r="L190" i="3"/>
  <c r="J190" i="3"/>
  <c r="H190" i="3"/>
  <c r="AD188" i="3"/>
  <c r="AB188" i="3"/>
  <c r="Z188" i="3"/>
  <c r="X188" i="3"/>
  <c r="V188" i="3"/>
  <c r="T188" i="3"/>
  <c r="R188" i="3"/>
  <c r="P188" i="3"/>
  <c r="N188" i="3"/>
  <c r="L188" i="3"/>
  <c r="J188" i="3"/>
  <c r="H188" i="3"/>
  <c r="AD186" i="3"/>
  <c r="AB186" i="3"/>
  <c r="Z186" i="3"/>
  <c r="X186" i="3"/>
  <c r="V186" i="3"/>
  <c r="T186" i="3"/>
  <c r="R186" i="3"/>
  <c r="P186" i="3"/>
  <c r="N186" i="3"/>
  <c r="L186" i="3"/>
  <c r="J186" i="3"/>
  <c r="H186" i="3"/>
  <c r="AD184" i="3"/>
  <c r="AB184" i="3"/>
  <c r="Z184" i="3"/>
  <c r="X184" i="3"/>
  <c r="V184" i="3"/>
  <c r="T184" i="3"/>
  <c r="R184" i="3"/>
  <c r="P184" i="3"/>
  <c r="N184" i="3"/>
  <c r="L184" i="3"/>
  <c r="J184" i="3"/>
  <c r="H184" i="3"/>
  <c r="AD182" i="3"/>
  <c r="AB182" i="3"/>
  <c r="Z182" i="3"/>
  <c r="X182" i="3"/>
  <c r="V182" i="3"/>
  <c r="T182" i="3"/>
  <c r="R182" i="3"/>
  <c r="P182" i="3"/>
  <c r="N182" i="3"/>
  <c r="L182" i="3"/>
  <c r="J182" i="3"/>
  <c r="H182" i="3"/>
  <c r="AD180" i="3"/>
  <c r="AB180" i="3"/>
  <c r="Z180" i="3"/>
  <c r="X180" i="3"/>
  <c r="V180" i="3"/>
  <c r="T180" i="3"/>
  <c r="R180" i="3"/>
  <c r="P180" i="3"/>
  <c r="N180" i="3"/>
  <c r="L180" i="3"/>
  <c r="J180" i="3"/>
  <c r="H180" i="3"/>
  <c r="AD178" i="3"/>
  <c r="AB178" i="3"/>
  <c r="Z178" i="3"/>
  <c r="X178" i="3"/>
  <c r="V178" i="3"/>
  <c r="T178" i="3"/>
  <c r="R178" i="3"/>
  <c r="P178" i="3"/>
  <c r="N178" i="3"/>
  <c r="L178" i="3"/>
  <c r="J178" i="3"/>
  <c r="H178" i="3"/>
  <c r="AD174" i="3"/>
  <c r="AB174" i="3"/>
  <c r="Z174" i="3"/>
  <c r="X174" i="3"/>
  <c r="V174" i="3"/>
  <c r="T174" i="3"/>
  <c r="R174" i="3"/>
  <c r="P174" i="3"/>
  <c r="N174" i="3"/>
  <c r="L174" i="3"/>
  <c r="J174" i="3"/>
  <c r="H174" i="3"/>
  <c r="AD163" i="3"/>
  <c r="AB163" i="3"/>
  <c r="Z163" i="3"/>
  <c r="X163" i="3"/>
  <c r="V163" i="3"/>
  <c r="T163" i="3"/>
  <c r="R163" i="3"/>
  <c r="P163" i="3"/>
  <c r="N163" i="3"/>
  <c r="L163" i="3"/>
  <c r="J163" i="3"/>
  <c r="H163" i="3"/>
  <c r="AB156" i="3"/>
  <c r="Z156" i="3"/>
  <c r="X156" i="3"/>
  <c r="V156" i="3"/>
  <c r="T156" i="3"/>
  <c r="R156" i="3"/>
  <c r="P156" i="3"/>
  <c r="N156" i="3"/>
  <c r="L156" i="3"/>
  <c r="J156" i="3"/>
  <c r="H156" i="3"/>
  <c r="AD154" i="3"/>
  <c r="AB154" i="3"/>
  <c r="Z154" i="3"/>
  <c r="X154" i="3"/>
  <c r="V154" i="3"/>
  <c r="T154" i="3"/>
  <c r="R154" i="3"/>
  <c r="P154" i="3"/>
  <c r="N154" i="3"/>
  <c r="L154" i="3"/>
  <c r="J154" i="3"/>
  <c r="H154" i="3"/>
  <c r="AD147" i="3"/>
  <c r="AB147" i="3"/>
  <c r="Z147" i="3"/>
  <c r="X147" i="3"/>
  <c r="V147" i="3"/>
  <c r="T147" i="3"/>
  <c r="R147" i="3"/>
  <c r="P147" i="3"/>
  <c r="N147" i="3"/>
  <c r="L147" i="3"/>
  <c r="J147" i="3"/>
  <c r="H147" i="3"/>
  <c r="AD136" i="3"/>
  <c r="AB136" i="3"/>
  <c r="Z136" i="3"/>
  <c r="X136" i="3"/>
  <c r="V136" i="3"/>
  <c r="T136" i="3"/>
  <c r="R136" i="3"/>
  <c r="P136" i="3"/>
  <c r="N136" i="3"/>
  <c r="L136" i="3"/>
  <c r="J136" i="3"/>
  <c r="H136" i="3"/>
  <c r="AD134" i="3"/>
  <c r="AB134" i="3"/>
  <c r="Z134" i="3"/>
  <c r="X134" i="3"/>
  <c r="V134" i="3"/>
  <c r="T134" i="3"/>
  <c r="R134" i="3"/>
  <c r="P134" i="3"/>
  <c r="N134" i="3"/>
  <c r="L134" i="3"/>
  <c r="J134" i="3"/>
  <c r="H134" i="3"/>
  <c r="AD129" i="3"/>
  <c r="AD128" i="3" s="1"/>
  <c r="AB129" i="3"/>
  <c r="AB128" i="3" s="1"/>
  <c r="Z129" i="3"/>
  <c r="Z128" i="3" s="1"/>
  <c r="X129" i="3"/>
  <c r="X128" i="3" s="1"/>
  <c r="V129" i="3"/>
  <c r="V128" i="3" s="1"/>
  <c r="T129" i="3"/>
  <c r="T128" i="3" s="1"/>
  <c r="R129" i="3"/>
  <c r="R128" i="3" s="1"/>
  <c r="P129" i="3"/>
  <c r="P128" i="3" s="1"/>
  <c r="N129" i="3"/>
  <c r="N128" i="3" s="1"/>
  <c r="L129" i="3"/>
  <c r="L128" i="3" s="1"/>
  <c r="J129" i="3"/>
  <c r="J128" i="3" s="1"/>
  <c r="H129" i="3"/>
  <c r="H128" i="3" s="1"/>
  <c r="AD75" i="3"/>
  <c r="AB75" i="3"/>
  <c r="Z75" i="3"/>
  <c r="X75" i="3"/>
  <c r="V75" i="3"/>
  <c r="T75" i="3"/>
  <c r="R75" i="3"/>
  <c r="P75" i="3"/>
  <c r="N75" i="3"/>
  <c r="L75" i="3"/>
  <c r="J75" i="3"/>
  <c r="H75" i="3"/>
  <c r="J133" i="3" l="1"/>
  <c r="AB202" i="3"/>
  <c r="F200" i="3"/>
  <c r="F192" i="3" s="1"/>
  <c r="L212" i="3"/>
  <c r="T212" i="3"/>
  <c r="AB212" i="3"/>
  <c r="H212" i="3"/>
  <c r="L202" i="3"/>
  <c r="T202" i="3"/>
  <c r="T192" i="3"/>
  <c r="P133" i="3"/>
  <c r="V146" i="3"/>
  <c r="J146" i="3"/>
  <c r="Z146" i="3"/>
  <c r="H192" i="3"/>
  <c r="X192" i="3"/>
  <c r="L192" i="3"/>
  <c r="AB192" i="3"/>
  <c r="J192" i="3"/>
  <c r="R192" i="3"/>
  <c r="Z192" i="3"/>
  <c r="X212" i="3"/>
  <c r="P146" i="3"/>
  <c r="V202" i="3"/>
  <c r="R146" i="3"/>
  <c r="H146" i="3"/>
  <c r="X146" i="3"/>
  <c r="P192" i="3"/>
  <c r="N202" i="3"/>
  <c r="AD202" i="3"/>
  <c r="H133" i="3"/>
  <c r="X133" i="3"/>
  <c r="L133" i="3"/>
  <c r="T133" i="3"/>
  <c r="AB133" i="3"/>
  <c r="N146" i="3"/>
  <c r="AD146" i="3"/>
  <c r="H202" i="3"/>
  <c r="X202" i="3"/>
  <c r="R212" i="3"/>
  <c r="Z212" i="3"/>
  <c r="P212" i="3"/>
  <c r="J212" i="3"/>
  <c r="R133" i="3"/>
  <c r="Z133" i="3"/>
  <c r="N212" i="3"/>
  <c r="V212" i="3"/>
  <c r="AD212" i="3"/>
  <c r="L146" i="3"/>
  <c r="T146" i="3"/>
  <c r="AB146" i="3"/>
  <c r="N192" i="3"/>
  <c r="V192" i="3"/>
  <c r="AD192" i="3"/>
  <c r="J202" i="3"/>
  <c r="R202" i="3"/>
  <c r="Z202" i="3"/>
  <c r="N133" i="3"/>
  <c r="V133" i="3"/>
  <c r="AD133" i="3"/>
</calcChain>
</file>

<file path=xl/sharedStrings.xml><?xml version="1.0" encoding="utf-8"?>
<sst xmlns="http://schemas.openxmlformats.org/spreadsheetml/2006/main" count="492" uniqueCount="292">
  <si>
    <t>DEPENDENCIA:</t>
  </si>
  <si>
    <t>UNIDAD RESPONSABLE:</t>
  </si>
  <si>
    <t>CLAVE DEL OBJETO DEL GASTO (CAP/CONCEP/PDA)</t>
  </si>
  <si>
    <t>CONCEPTO DEL GASTO (DESCRIPCION)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</si>
  <si>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</si>
  <si>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</si>
  <si>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</si>
  <si>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</si>
  <si>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</si>
  <si>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</si>
  <si>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</si>
  <si>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</si>
  <si>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</si>
  <si>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</si>
  <si>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</si>
  <si>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</si>
  <si>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</si>
  <si>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</si>
  <si>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</si>
  <si>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</si>
  <si>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</si>
  <si>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</si>
  <si>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</si>
  <si>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</si>
  <si>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</si>
  <si>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</si>
  <si>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</si>
  <si>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</si>
  <si>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</si>
  <si>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</si>
  <si>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</si>
  <si>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</si>
  <si>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</si>
  <si>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</si>
  <si>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PAQUETE</t>
  </si>
  <si>
    <t>PIEZA</t>
  </si>
  <si>
    <t>BORRADORES DE MIGAJON</t>
  </si>
  <si>
    <t>GRAPAS ESTÁNDAR</t>
  </si>
  <si>
    <t>Material Estadistico y Geográfico</t>
  </si>
  <si>
    <t>MAPAS, PLANOS FOTOGRAFIAS AEREAS</t>
  </si>
  <si>
    <t>Materiales, útiles y equipos menores de tecnologías de la información y comunicaciones</t>
  </si>
  <si>
    <t>Material impreso e información digital</t>
  </si>
  <si>
    <t xml:space="preserve"> </t>
  </si>
  <si>
    <t>DIARIOS OFICIALES</t>
  </si>
  <si>
    <t>Material de limpieza</t>
  </si>
  <si>
    <t>ALIMENTOS Y UTENSILIOS</t>
  </si>
  <si>
    <t>Productos alimenticios para personas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</si>
  <si>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</si>
  <si>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</si>
  <si>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</si>
  <si>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</si>
  <si>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TABLA ROCA, PLAFONES</t>
  </si>
  <si>
    <t>Madera y productos de madera</t>
  </si>
  <si>
    <t>MADERA Y SUS DERIVADOS</t>
  </si>
  <si>
    <t>Vidrio y productos de vidrio</t>
  </si>
  <si>
    <t>Materiales complementarios</t>
  </si>
  <si>
    <t>PRODUCTOS QUÍMICOS, FARMACÉUTICOS Y DE LABORATORIO</t>
  </si>
  <si>
    <t>CUMBUSTIBLES, LUBRICANTES Y ADITIVOS</t>
  </si>
  <si>
    <t>Combustibles, libricantes y aditivos</t>
  </si>
  <si>
    <t>ACEITES Y GRASAS</t>
  </si>
  <si>
    <t>GASOLINA</t>
  </si>
  <si>
    <t>DIESEL</t>
  </si>
  <si>
    <t>VESTUARIO, BLANCOS, PRENDAS DE PROTECCIÓN Y ARTÍCULOS DEPORTIVOS</t>
  </si>
  <si>
    <t>Vestuario y uniformes</t>
  </si>
  <si>
    <t>UNIFORMES, CAMISAS</t>
  </si>
  <si>
    <t>Articulos deportivos</t>
  </si>
  <si>
    <t>BALONES</t>
  </si>
  <si>
    <t>PRODUCTOS TEXTILES</t>
  </si>
  <si>
    <t>TAPETES</t>
  </si>
  <si>
    <t>HERRAMIENTAS, REFACCIONES Y ACCESORIOS MENORES</t>
  </si>
  <si>
    <t>Herramientas menores</t>
  </si>
  <si>
    <t>Refacciones y accesorios menores de edificios</t>
  </si>
  <si>
    <t>CANDADOS</t>
  </si>
  <si>
    <t>CHAPAS</t>
  </si>
  <si>
    <t>Refacciones y accesorios menores de mobiliario y equipo de administración, educaciones y recreativo</t>
  </si>
  <si>
    <t>Refacciones y accesorios menores de equipo de cómputo tecnologías de la información</t>
  </si>
  <si>
    <t>Refacciones y accesorios menores de equipo de transporte</t>
  </si>
  <si>
    <t>Refacciones y accesorios menores otros bienes muebles</t>
  </si>
  <si>
    <t>SERVICIOS GENERALES</t>
  </si>
  <si>
    <t>SERVICIOS BÁSICOS</t>
  </si>
  <si>
    <t>Energía eléctrica</t>
  </si>
  <si>
    <t>CONTRATACIÓN, INSTALACIÓN Y CONSUMO DE ENERGÍA ELÉCTRICA</t>
  </si>
  <si>
    <t>Agua</t>
  </si>
  <si>
    <t>CONSUMO DE AGUA POTABLE</t>
  </si>
  <si>
    <t>Telefonía tradicional</t>
  </si>
  <si>
    <t>SERVICIO TELEFÓNICO CONVENCIONAL</t>
  </si>
  <si>
    <t>SERVICIO</t>
  </si>
  <si>
    <t>Servicios de telecomunicaciones y satélites</t>
  </si>
  <si>
    <t>RED DE TELECOMUNICACIONES</t>
  </si>
  <si>
    <t>Servicios de acceso de Internet, redes y procesamiento de información</t>
  </si>
  <si>
    <t>SERVICIO DE ACCESO A INTERNET</t>
  </si>
  <si>
    <t>MENSUALIDAD</t>
  </si>
  <si>
    <t xml:space="preserve">Servicio postal </t>
  </si>
  <si>
    <t>SERVICIO POSTAL, NACIONAL, INTERNACIONAL, GUBERNAMENTAL Y PRIVADO</t>
  </si>
  <si>
    <t>SERVICIOS DE ARRENDAMIENTO</t>
  </si>
  <si>
    <t>Arrendamiento de edificios</t>
  </si>
  <si>
    <t>Arrendamiento de mobiliario y equipo de administración, educacional y recreativo</t>
  </si>
  <si>
    <t xml:space="preserve">ARRENDAMIENTO DE MOBILIARIO </t>
  </si>
  <si>
    <t>SERVICIO DE RENTA</t>
  </si>
  <si>
    <t>Arrendamiento de equipo de transporte</t>
  </si>
  <si>
    <t>ALQUILER DE EQUIPO DE TRANSPORTE TERRESTRE</t>
  </si>
  <si>
    <t>ARRENDAMIENTO DE ACTIVOS INTAGIBLES</t>
  </si>
  <si>
    <t>SERVICIOS PROFESIONALES, CIENTÍFICOS, TÉCNOLOGICOS Y OTROS SERVICIOS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</si>
  <si>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</si>
  <si>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</si>
  <si>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</si>
  <si>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</si>
  <si>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</si>
  <si>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ENGARGOLADO</t>
  </si>
  <si>
    <t>SERVICIOS FINANCIEROS , BANCARIOS Y COMERCIALES</t>
  </si>
  <si>
    <t>Servicios financieros y bancarios</t>
  </si>
  <si>
    <t>Seguro de bienes patrimoniales</t>
  </si>
  <si>
    <t>Fletes y maniobras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</si>
  <si>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</si>
  <si>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</si>
  <si>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</si>
  <si>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</si>
  <si>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</si>
  <si>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</si>
  <si>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</si>
  <si>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</si>
  <si>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Servicios de jardinería y fumigación</t>
  </si>
  <si>
    <t>BIENES MUEBLES, INMUEBLES E INTANGIBLES</t>
  </si>
  <si>
    <t>MOBILIARIOS Y EQUIPO DE ADMINISTRACIÓN</t>
  </si>
  <si>
    <t>Muebles de oficina y estantería</t>
  </si>
  <si>
    <t>Equipo de cómputo y de tecnologías de la información</t>
  </si>
  <si>
    <t>SERVIDORES, COMPUTADORAS,MONITORES,  MODEM, TARJETAS</t>
  </si>
  <si>
    <t>Otros mobiliarios y equipos de administración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</si>
  <si>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</si>
  <si>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</si>
  <si>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</si>
  <si>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</si>
  <si>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</si>
  <si>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AIRE ACONDICIONADO</t>
  </si>
  <si>
    <t>ACTIVOS INTANGIBLES</t>
  </si>
  <si>
    <t>LICENCIAS INFORMÁTICAS E INTELECTUALES</t>
  </si>
  <si>
    <t>TOTAL</t>
  </si>
  <si>
    <t>ASESORIAS CON PERSONAS FÍSICAS O MORALES</t>
  </si>
  <si>
    <t>ASESORÍAS ASOCIADOS A CONVENIOS, TRATADOS O ACUERDOS</t>
  </si>
  <si>
    <t xml:space="preserve">Prendas de seguridad y protección personal </t>
  </si>
  <si>
    <t>ALIMENTOS DE TRABAJO</t>
  </si>
  <si>
    <t>VIDRIO</t>
  </si>
  <si>
    <t>CONSUMO</t>
  </si>
  <si>
    <t>MACETAS</t>
  </si>
  <si>
    <t>KILO</t>
  </si>
  <si>
    <t>METRO</t>
  </si>
  <si>
    <t>CAJA</t>
  </si>
  <si>
    <t>LITRO</t>
  </si>
  <si>
    <t>FOLDER TAMAÑO CARTA C/100</t>
  </si>
  <si>
    <t>FOLDER TAMAÑO OFICIO C/100</t>
  </si>
  <si>
    <t>PISOS</t>
  </si>
  <si>
    <t>CANALETAS DE PVC</t>
  </si>
  <si>
    <t>PLANTAS</t>
  </si>
  <si>
    <t>MARCO</t>
  </si>
  <si>
    <t>TUBO PVC</t>
  </si>
  <si>
    <t>RODILLO</t>
  </si>
  <si>
    <t>MASCARILLA CON VÁLVULA</t>
  </si>
  <si>
    <t>LISTÓN</t>
  </si>
  <si>
    <t>YUTE</t>
  </si>
  <si>
    <t>PUNTA PARA DESARMADOR</t>
  </si>
  <si>
    <t>TARJETA DE RED</t>
  </si>
  <si>
    <t>CABLE HDM</t>
  </si>
  <si>
    <t>ALINEACIÓN Y BALANCEO</t>
  </si>
  <si>
    <t>LAVADO DE CARROCERÍA</t>
  </si>
  <si>
    <t>CAMBIO DE BALATAS</t>
  </si>
  <si>
    <t>ARCHIVERO METÁLICO</t>
  </si>
  <si>
    <t>BANCA METÁLICA</t>
  </si>
  <si>
    <t>EXTINTORES</t>
  </si>
  <si>
    <t>VENTILADOR</t>
  </si>
  <si>
    <t>CHAROLA</t>
  </si>
  <si>
    <t>ARRENDAMIENTO DE EQUIPO Y BIENES INFORMÁTICOS</t>
  </si>
  <si>
    <t>ADHESIVO, JUNTEADOR, CEMENTO</t>
  </si>
  <si>
    <t>CORTINAS</t>
  </si>
  <si>
    <t>GUANTES C/100</t>
  </si>
  <si>
    <t>CUBREBOCAS C/100</t>
  </si>
  <si>
    <t>ANTEOJOS DE SEGURIDAD</t>
  </si>
  <si>
    <t>FLEXÓMETRO</t>
  </si>
  <si>
    <t>HERRAMIENTAS VARIAS (MARTILLO, PINZAS, ROTOMARTILLO)</t>
  </si>
  <si>
    <t>LLAVE DE PASO</t>
  </si>
  <si>
    <t>CORREDERA, TAQUETES, PIJAS</t>
  </si>
  <si>
    <t>MOUSE</t>
  </si>
  <si>
    <t>USB</t>
  </si>
  <si>
    <t>DISCO DURO INTERNO</t>
  </si>
  <si>
    <t>BOCINAS</t>
  </si>
  <si>
    <t>Telefonía celular</t>
  </si>
  <si>
    <t>IMPRESIÓN DOCUMENTOS OFICIALES</t>
  </si>
  <si>
    <t>COMISIONES BANCARIAS</t>
  </si>
  <si>
    <t>CAMBIO DE CLUTCH</t>
  </si>
  <si>
    <t>LICENCIA ANTIVIRUS</t>
  </si>
  <si>
    <t>ENGARGOLADORA</t>
  </si>
  <si>
    <t>SOFTWARE</t>
  </si>
  <si>
    <t>PAQUETE COMPUTACIONAL</t>
  </si>
  <si>
    <t>Instalación, reparación y mantenimiento de maquinaria, otros equipos y herramientas</t>
  </si>
  <si>
    <t>Materiales y útiles de impresión y reproducción</t>
  </si>
  <si>
    <t>Material para fotografías</t>
  </si>
  <si>
    <t>SEGUROS VEHICULARES
(VENCEN EN MAYO 2022)</t>
  </si>
  <si>
    <t>TONER 49A PARA IMPRESORA LASERJET 1320</t>
  </si>
  <si>
    <t>CARTUCHO 673 NEGRO PARA L800</t>
  </si>
  <si>
    <t>CARTUCHO 673 CYAN PARA L800</t>
  </si>
  <si>
    <t>CARTUCHO 673 MAGENTA PARA L800</t>
  </si>
  <si>
    <t>CARTUCHO 673 AMARILLO PARA L800</t>
  </si>
  <si>
    <t>CARTUCHO 673 CYAN LIGHT PARA L800</t>
  </si>
  <si>
    <t>CARTUCHO 673 MAGENTA LIGHT PARA L800</t>
  </si>
  <si>
    <t>INSECTICIDA EN AEROSOL DE 400 ML</t>
  </si>
  <si>
    <t>LIMPIADOR MULTIUSOS VARIOS AROMAS DE 1 LT.</t>
  </si>
  <si>
    <t>DESINFECTANTE EN AEROSOL DE 400 ML. ANTIBACTERIAL</t>
  </si>
  <si>
    <t>TOALLA INTERDOBLADA 20/100</t>
  </si>
  <si>
    <t>CAJAS</t>
  </si>
  <si>
    <t>PAPEL HIGIENICO TRADICIONAL CON 4 PIEZAS DE 400 HOJAS</t>
  </si>
  <si>
    <t>JABON LIQUIDO ANTIBACTERIAL PARA MANOS CON AROMA CON 20 LT.</t>
  </si>
  <si>
    <t>BIDON</t>
  </si>
  <si>
    <t>DETERGENTE EN POLVO DE 1 KG.</t>
  </si>
  <si>
    <t>LIMPIADOR MULTIUSOS AROMA A PINO DE 828 ML.</t>
  </si>
  <si>
    <t>CLORO 950 ML.</t>
  </si>
  <si>
    <t>BOLSA JUMBO NEGRA 70X30X1.20</t>
  </si>
  <si>
    <t>BOLSA NEGRA PARA BASURA DE 60X90 MEDIANA</t>
  </si>
  <si>
    <t>BOLSA DE CAMISETA 30X60 CM. ECOLOGICA</t>
  </si>
  <si>
    <t>FRANELA GRIS 1 MTS.</t>
  </si>
  <si>
    <t xml:space="preserve">TRAPEADOR HILASA #22 COLOR 500 GR </t>
  </si>
  <si>
    <t>AROMATIZANTE AMBIENTAL 226 GR VARIOS AROMAS EN AEROSOL</t>
  </si>
  <si>
    <t>REPUESTO (FUNDA) PARA MOPEADOR DE 60 CMS.</t>
  </si>
  <si>
    <t>MOPEADOR BASE METAL DE 60 CMS.</t>
  </si>
  <si>
    <t>PAPEL HIGIENICO BOBINA C/12 200 MT</t>
  </si>
  <si>
    <t>PASTILLA AROMA ASA PLASTICA 60 GR</t>
  </si>
  <si>
    <t>RECOGEDOR LAMINA C/BASTON MADERA</t>
  </si>
  <si>
    <t>PLUMERO GRANDE PARA TECHO</t>
  </si>
  <si>
    <t>ESCOBELLON DE W.C. BOLA CON BASE</t>
  </si>
  <si>
    <t>BOMBA DESTAPACAÑOS MANGO DE MADERA</t>
  </si>
  <si>
    <t>ESCOBA ABANICO CORTA</t>
  </si>
  <si>
    <t>CINTA TRANSPARENTE 200 24*65</t>
  </si>
  <si>
    <t>CINTA TRANSPARENTE 48X50</t>
  </si>
  <si>
    <t xml:space="preserve">ENGRAPADORA 1 TIRA </t>
  </si>
  <si>
    <t>CINTA EMP Q CANELA 48*50</t>
  </si>
  <si>
    <t>CINTA INVISIBLE 260 24MMX65MM</t>
  </si>
  <si>
    <t>DESENGRAPADOR</t>
  </si>
  <si>
    <t>TINTA SELLO 28 ML. NEGRO</t>
  </si>
  <si>
    <t>TINTA SELLO 28 ML.AZUL</t>
  </si>
  <si>
    <t>TINTA SELLO 28 ML. ROJO</t>
  </si>
  <si>
    <t>MARCADOR PERMANENTE CINCEL NEGRO</t>
  </si>
  <si>
    <t>MARCADOR PERMANENTE CINCEL AZUL</t>
  </si>
  <si>
    <t>SACAPUNTAS PLASTICO</t>
  </si>
  <si>
    <t>PLIEGOS</t>
  </si>
  <si>
    <t>PAPEL MINA GRIS 70*95 200 GRS 133 KLS</t>
  </si>
  <si>
    <t>CARTON</t>
  </si>
  <si>
    <t>CAJA ARCHIVO MUERTO CARTON CARTA</t>
  </si>
  <si>
    <t>CAJA ARCHIVO MUERTO CARTON OFICIO</t>
  </si>
  <si>
    <t>LIBRO RAYADO 192H</t>
  </si>
  <si>
    <t>SOBRE BOLSA EXOF 30.5*AM</t>
  </si>
  <si>
    <t>LIBRETA PASTA *1/4 96H RY FRANCESA</t>
  </si>
  <si>
    <t xml:space="preserve">BLOCK 3*3 CUBO PASTEL </t>
  </si>
  <si>
    <t>BOLIGRAFO P/MED AZUL</t>
  </si>
  <si>
    <t>PAPEL CARBON T/CARTA C/100</t>
  </si>
  <si>
    <t>SOBRE COIN</t>
  </si>
  <si>
    <t>CUADERNO ESPIRAL 180 HOJAS PASTA DURA</t>
  </si>
  <si>
    <t xml:space="preserve">FOLDER CARTA NEGRO </t>
  </si>
  <si>
    <t>PAPEL OPALINA DELGADA 125 GR CTA C/100</t>
  </si>
  <si>
    <t>TARJETA 5*8 BLANCA C/100</t>
  </si>
  <si>
    <t>BOLIGRAFO AZUL PUNTO FINO</t>
  </si>
  <si>
    <t>BOLIGRAFO NEGRO PUNTO MEDIANO</t>
  </si>
  <si>
    <t>BOLIGRAFO GEL PUNTO FINO AZUL</t>
  </si>
  <si>
    <t>LAPIZ MARCADOR DE CERA ROJO</t>
  </si>
  <si>
    <t>PAPEL BOND PLIEGO 70X95 75 GRAMOS</t>
  </si>
  <si>
    <t>TONER 85A PARA IMPRESORA LASERJET P1102W</t>
  </si>
  <si>
    <t>PAPEL PLIEGO AUTOCOPIABLE 70*95 ORIGINAL</t>
  </si>
  <si>
    <t>PAPEL PLIEGO AUTOCOPIABLE 70*95 INTER ROSA</t>
  </si>
  <si>
    <t>PAPEL PLIEGO AUTOCOPIABLE 70*95 INTER AZUL</t>
  </si>
  <si>
    <t>PAPEL PLIEGO AUTOCOPIABLE 70*95 INTER CANARIO</t>
  </si>
  <si>
    <t>HOJA BLANCA CARTA CAJA/5000</t>
  </si>
  <si>
    <t>HOJA BLANCA OFICIO CAJA/500</t>
  </si>
  <si>
    <t xml:space="preserve">RECOPILADOR CARTA </t>
  </si>
  <si>
    <t>RECOPILADOR OFICIO</t>
  </si>
  <si>
    <t>MARCATEXTO PUNTA CINCEL AMARILLO</t>
  </si>
  <si>
    <t>CLIP JUMBO C/100</t>
  </si>
  <si>
    <t>CLIP MARIPOSA #2 C/50</t>
  </si>
  <si>
    <t>CLIP GIGANTE #1 C/12</t>
  </si>
  <si>
    <t>CLIP GOTICO #2 C/100</t>
  </si>
  <si>
    <t>REGLA DE ALUMINIO 30 CM</t>
  </si>
  <si>
    <t>TIJERA PARA OFICINA DE METAL #7</t>
  </si>
  <si>
    <t xml:space="preserve">CUTTER </t>
  </si>
  <si>
    <t>CUENTA FACIL 14 GMS</t>
  </si>
  <si>
    <t xml:space="preserve">PERFORADORA METALICA 2 ORIFICIOS </t>
  </si>
  <si>
    <t>AGUA EMBOTELLADA 230 ML C/24</t>
  </si>
  <si>
    <t>LLANTAS 175R15</t>
  </si>
  <si>
    <t>LLANTAS 245/75R16</t>
  </si>
  <si>
    <t>LLANTAS 265/70R17</t>
  </si>
  <si>
    <t>LLANTAS 225/55R18</t>
  </si>
  <si>
    <t>LLANTAS 175/70R13</t>
  </si>
  <si>
    <t>LLANTAS 195/65R15</t>
  </si>
  <si>
    <t>LLANTAS 225/70 R19.5</t>
  </si>
  <si>
    <t xml:space="preserve">COORDINACION GENERAL DE ADMINISTRACION </t>
  </si>
  <si>
    <t>SECRETARIA DE MOVILIDAD   0201601</t>
  </si>
  <si>
    <t>PROGRAMA ANUAL DE ADQUISICIONES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</si>
</sst>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[Red]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4" fontId="5" fillId="0" borderId="8" xfId="0" applyNumberFormat="1" applyFont="1" applyBorder="1"/>
    <xf numFmtId="164" fontId="3" fillId="0" borderId="8" xfId="0" applyNumberFormat="1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164" fontId="6" fillId="4" borderId="9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2" fontId="0" fillId="0" borderId="10" xfId="0" applyNumberFormat="1" applyBorder="1"/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3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4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justify" vertical="top" wrapText="1"/>
    </xf>
    <xf numFmtId="4" fontId="3" fillId="0" borderId="12" xfId="0" applyNumberFormat="1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0" fontId="0" fillId="0" borderId="12" xfId="0" applyBorder="1"/>
    <xf numFmtId="0" fontId="3" fillId="0" borderId="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vertical="center" wrapText="1"/>
    </xf>
    <xf numFmtId="164" fontId="6" fillId="0" borderId="9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6" fillId="0" borderId="8" xfId="0" applyFont="1" applyFill="1" applyBorder="1" applyAlignment="1">
      <alignment horizontal="right" vertical="top" wrapText="1"/>
    </xf>
    <xf numFmtId="4" fontId="6" fillId="0" borderId="9" xfId="0" applyNumberFormat="1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justify" vertical="top" wrapText="1"/>
    </xf>
    <xf numFmtId="164" fontId="6" fillId="2" borderId="9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164" fontId="6" fillId="2" borderId="9" xfId="0" applyNumberFormat="1" applyFont="1" applyFill="1" applyBorder="1" applyAlignment="1">
      <alignment vertical="top" wrapText="1"/>
    </xf>
    <xf numFmtId="4" fontId="6" fillId="2" borderId="9" xfId="0" applyNumberFormat="1" applyFont="1" applyFill="1" applyBorder="1" applyAlignment="1">
      <alignment vertical="top" wrapText="1"/>
    </xf>
    <xf numFmtId="164" fontId="6" fillId="2" borderId="8" xfId="0" applyNumberFormat="1" applyFont="1" applyFill="1" applyBorder="1" applyAlignment="1">
      <alignment horizontal="right" vertical="top" wrapText="1"/>
    </xf>
    <xf numFmtId="4" fontId="6" fillId="2" borderId="8" xfId="0" applyNumberFormat="1" applyFont="1" applyFill="1" applyBorder="1" applyAlignment="1">
      <alignment vertical="top" wrapText="1"/>
    </xf>
    <xf numFmtId="164" fontId="6" fillId="2" borderId="8" xfId="0" applyNumberFormat="1" applyFont="1" applyFill="1" applyBorder="1" applyAlignment="1">
      <alignment vertical="top" wrapText="1"/>
    </xf>
    <xf numFmtId="0" fontId="0" fillId="2" borderId="0" xfId="0" applyFill="1"/>
    <xf numFmtId="0" fontId="6" fillId="2" borderId="8" xfId="0" applyFont="1" applyFill="1" applyBorder="1" applyAlignment="1">
      <alignment horizontal="justify" vertical="center" wrapText="1"/>
    </xf>
    <xf numFmtId="164" fontId="6" fillId="2" borderId="9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6" fillId="0" borderId="8" xfId="0" applyFont="1" applyFill="1" applyBorder="1" applyAlignment="1">
      <alignment horizontal="right" vertical="center" wrapText="1"/>
    </xf>
    <xf numFmtId="43" fontId="6" fillId="2" borderId="9" xfId="2" applyFont="1" applyFill="1" applyBorder="1" applyAlignment="1">
      <alignment horizontal="right" vertical="top" wrapText="1"/>
    </xf>
    <xf numFmtId="43" fontId="6" fillId="2" borderId="8" xfId="2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center" vertical="top" wrapText="1"/>
    </xf>
    <xf numFmtId="49" fontId="6" fillId="2" borderId="8" xfId="2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vertical="center"/>
    </xf>
    <xf numFmtId="2" fontId="0" fillId="0" borderId="0" xfId="0" applyNumberFormat="1" applyFill="1"/>
    <xf numFmtId="4" fontId="7" fillId="0" borderId="10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Y266"/>
  <sheetViews>
    <sheetView tabSelected="1" showWhiteSpace="0" view="pageLayout" zoomScale="85" zoomScalePageLayoutView="85" workbookViewId="0">
      <selection activeCell="A6" sqref="A6"/>
    </sheetView>
  </sheetViews>
  <sheetFormatPr baseColWidth="10" defaultRowHeight="17.25" customHeight="1" x14ac:dyDescent="0.2"/>
  <cols>
    <col min="1" max="1" width="11.85546875" customWidth="1"/>
    <col min="2" max="2" width="10.42578125" customWidth="1"/>
    <col min="3" max="3" width="37.140625" style="81" customWidth="1"/>
    <col min="4" max="4" width="12.7109375" style="76" customWidth="1"/>
    <col min="5" max="5" width="11.5703125" style="94" customWidth="1"/>
    <col min="6" max="6" width="17.140625" customWidth="1"/>
    <col min="7" max="7" width="9.85546875" customWidth="1"/>
    <col min="8" max="8" width="12.28515625" customWidth="1"/>
    <col min="9" max="9" width="11" customWidth="1"/>
    <col min="10" max="10" width="17.7109375" bestFit="1" customWidth="1"/>
    <col min="11" max="11" width="10.140625" customWidth="1"/>
    <col min="12" max="12" width="12.7109375" customWidth="1"/>
    <col min="13" max="13" width="9.140625" customWidth="1"/>
    <col min="14" max="14" width="12.7109375" customWidth="1"/>
    <col min="15" max="15" width="9.7109375" customWidth="1"/>
    <col min="16" max="16" width="12" customWidth="1"/>
    <col min="17" max="17" width="9.7109375" customWidth="1"/>
    <col min="18" max="18" width="12.7109375" customWidth="1"/>
    <col min="19" max="19" width="9.7109375" customWidth="1"/>
    <col min="20" max="20" width="14.42578125" customWidth="1"/>
    <col min="21" max="21" width="10.7109375" customWidth="1"/>
    <col min="22" max="22" width="12.85546875" customWidth="1"/>
    <col min="23" max="23" width="10.7109375" customWidth="1"/>
    <col min="24" max="24" width="12.28515625" customWidth="1"/>
    <col min="25" max="25" width="9.140625" customWidth="1"/>
    <col min="26" max="26" width="12" customWidth="1"/>
    <col min="27" max="27" width="10.140625" customWidth="1"/>
    <col min="28" max="28" width="13.85546875" customWidth="1"/>
    <col min="29" max="29" width="9.140625" customWidth="1"/>
    <col min="30" max="30" width="12" customWidth="1"/>
  </cols>
  <sheetData>
    <row r="1" spans="1:194" ht="25.5" customHeight="1" x14ac:dyDescent="0.2">
      <c r="B1" s="135" t="s">
        <v>291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</row>
    <row r="2" spans="1:194" ht="16.5" customHeight="1" x14ac:dyDescent="0.2">
      <c r="B2" s="137" t="s">
        <v>0</v>
      </c>
      <c r="C2" s="137"/>
      <c r="D2" s="138" t="s">
        <v>290</v>
      </c>
      <c r="E2" s="138"/>
      <c r="F2" s="138"/>
      <c r="G2" s="138"/>
      <c r="H2" s="1"/>
      <c r="I2" s="1"/>
      <c r="J2" s="2"/>
      <c r="K2" s="2"/>
      <c r="L2" s="2"/>
      <c r="M2" s="2"/>
      <c r="N2" s="3"/>
      <c r="AB2" s="4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</row>
    <row r="3" spans="1:194" ht="16.5" customHeight="1" x14ac:dyDescent="0.2">
      <c r="B3" s="137" t="s">
        <v>1</v>
      </c>
      <c r="C3" s="137"/>
      <c r="D3" s="138" t="s">
        <v>289</v>
      </c>
      <c r="E3" s="138"/>
      <c r="F3" s="138"/>
      <c r="G3" s="138"/>
      <c r="H3" s="138"/>
      <c r="I3" s="138"/>
      <c r="J3" s="2"/>
      <c r="K3" s="2"/>
      <c r="L3" s="2"/>
      <c r="M3" s="2"/>
      <c r="N3" s="3"/>
      <c r="O3" s="5"/>
      <c r="P3" s="5"/>
      <c r="Q3" s="6"/>
      <c r="R3" s="6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</row>
    <row r="4" spans="1:194" ht="17.25" customHeight="1" thickBot="1" x14ac:dyDescent="0.25">
      <c r="B4" s="2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3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</row>
    <row r="5" spans="1:194" s="12" customFormat="1" ht="53.25" customHeight="1" thickBot="1" x14ac:dyDescent="0.25">
      <c r="B5" s="7" t="s">
        <v>2</v>
      </c>
      <c r="C5" s="82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8" t="s">
        <v>9</v>
      </c>
      <c r="J5" s="9" t="s">
        <v>10</v>
      </c>
      <c r="K5" s="8" t="s">
        <v>11</v>
      </c>
      <c r="L5" s="9" t="s">
        <v>12</v>
      </c>
      <c r="M5" s="8" t="s">
        <v>13</v>
      </c>
      <c r="N5" s="9" t="s">
        <v>14</v>
      </c>
      <c r="O5" s="8" t="s">
        <v>15</v>
      </c>
      <c r="P5" s="9" t="s">
        <v>16</v>
      </c>
      <c r="Q5" s="8" t="s">
        <v>17</v>
      </c>
      <c r="R5" s="9" t="s">
        <v>18</v>
      </c>
      <c r="S5" s="8" t="s">
        <v>19</v>
      </c>
      <c r="T5" s="9" t="s">
        <v>20</v>
      </c>
      <c r="U5" s="8" t="s">
        <v>21</v>
      </c>
      <c r="V5" s="9" t="s">
        <v>22</v>
      </c>
      <c r="W5" s="8" t="s">
        <v>23</v>
      </c>
      <c r="X5" s="9" t="s">
        <v>24</v>
      </c>
      <c r="Y5" s="8" t="s">
        <v>25</v>
      </c>
      <c r="Z5" s="9" t="s">
        <v>26</v>
      </c>
      <c r="AA5" s="8" t="s">
        <v>27</v>
      </c>
      <c r="AB5" s="10" t="s">
        <v>28</v>
      </c>
      <c r="AC5" s="8" t="s">
        <v>29</v>
      </c>
      <c r="AD5" s="11" t="s">
        <v>30</v>
      </c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</row>
    <row r="6" spans="1:194" ht="17.25" customHeight="1" x14ac:dyDescent="0.2">
      <c r="B6" s="13">
        <v>2000</v>
      </c>
      <c r="C6" s="13" t="s">
        <v>31</v>
      </c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30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</row>
    <row r="7" spans="1:194" ht="22.5" customHeight="1" x14ac:dyDescent="0.2">
      <c r="B7" s="19">
        <v>2100</v>
      </c>
      <c r="C7" s="20" t="s">
        <v>32</v>
      </c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30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</row>
    <row r="8" spans="1:194" ht="24" x14ac:dyDescent="0.2">
      <c r="B8" s="24">
        <v>211</v>
      </c>
      <c r="C8" s="20" t="s">
        <v>33</v>
      </c>
      <c r="D8" s="24"/>
      <c r="E8" s="19"/>
      <c r="F8" s="25">
        <f t="shared" ref="F8:AD8" si="0">SUM(F9:F61)</f>
        <v>446447.94000000006</v>
      </c>
      <c r="G8" s="25">
        <f t="shared" si="0"/>
        <v>1442</v>
      </c>
      <c r="H8" s="25">
        <f t="shared" si="0"/>
        <v>33094.279999999992</v>
      </c>
      <c r="I8" s="25">
        <f t="shared" si="0"/>
        <v>3651</v>
      </c>
      <c r="J8" s="25">
        <f t="shared" si="0"/>
        <v>45902.429999999978</v>
      </c>
      <c r="K8" s="25">
        <f t="shared" si="0"/>
        <v>1453</v>
      </c>
      <c r="L8" s="25">
        <f t="shared" si="0"/>
        <v>33831.369999999995</v>
      </c>
      <c r="M8" s="25">
        <f t="shared" si="0"/>
        <v>1420</v>
      </c>
      <c r="N8" s="25">
        <f t="shared" si="0"/>
        <v>32856.189999999995</v>
      </c>
      <c r="O8" s="25">
        <f t="shared" si="0"/>
        <v>5125</v>
      </c>
      <c r="P8" s="25">
        <f t="shared" si="0"/>
        <v>47402.559999999976</v>
      </c>
      <c r="Q8" s="25">
        <f t="shared" si="0"/>
        <v>1415</v>
      </c>
      <c r="R8" s="25">
        <f t="shared" si="0"/>
        <v>32365.410000000007</v>
      </c>
      <c r="S8" s="25">
        <f t="shared" si="0"/>
        <v>1402</v>
      </c>
      <c r="T8" s="25">
        <f t="shared" si="0"/>
        <v>31465.48</v>
      </c>
      <c r="U8" s="25">
        <f t="shared" si="0"/>
        <v>3640</v>
      </c>
      <c r="V8" s="25">
        <f t="shared" si="0"/>
        <v>45533.409999999982</v>
      </c>
      <c r="W8" s="25">
        <f t="shared" si="0"/>
        <v>1400</v>
      </c>
      <c r="X8" s="25">
        <f t="shared" si="0"/>
        <v>31069.56</v>
      </c>
      <c r="Y8" s="25">
        <f t="shared" si="0"/>
        <v>1417</v>
      </c>
      <c r="Z8" s="25">
        <f t="shared" si="0"/>
        <v>32761.330000000005</v>
      </c>
      <c r="AA8" s="25">
        <f t="shared" si="0"/>
        <v>3625</v>
      </c>
      <c r="AB8" s="25">
        <f t="shared" si="0"/>
        <v>44237.559999999976</v>
      </c>
      <c r="AC8" s="25">
        <f t="shared" si="0"/>
        <v>2915</v>
      </c>
      <c r="AD8" s="25">
        <f t="shared" si="0"/>
        <v>35530.409999999989</v>
      </c>
      <c r="AE8" s="130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</row>
    <row r="9" spans="1:194" s="95" customFormat="1" ht="15" customHeight="1" x14ac:dyDescent="0.2">
      <c r="A9" s="98"/>
      <c r="B9" s="99"/>
      <c r="C9" s="102" t="s">
        <v>229</v>
      </c>
      <c r="D9" s="103">
        <f t="shared" ref="D9:D22" si="1">G9+I9+K9+M9+O9+Q9+S9+U9+W9+Y9+AA9+AC9</f>
        <v>120</v>
      </c>
      <c r="E9" s="104" t="s">
        <v>35</v>
      </c>
      <c r="F9" s="105">
        <f>24.54*D9</f>
        <v>2944.7999999999997</v>
      </c>
      <c r="G9" s="107">
        <v>10</v>
      </c>
      <c r="H9" s="108">
        <f>24.54*G9</f>
        <v>245.39999999999998</v>
      </c>
      <c r="I9" s="107">
        <v>10</v>
      </c>
      <c r="J9" s="108">
        <f>24.54*I9</f>
        <v>245.39999999999998</v>
      </c>
      <c r="K9" s="107">
        <v>10</v>
      </c>
      <c r="L9" s="108">
        <f>24.54*K9</f>
        <v>245.39999999999998</v>
      </c>
      <c r="M9" s="107">
        <v>10</v>
      </c>
      <c r="N9" s="108">
        <f>24.54*M9</f>
        <v>245.39999999999998</v>
      </c>
      <c r="O9" s="107">
        <v>10</v>
      </c>
      <c r="P9" s="108">
        <f>24.54*O9</f>
        <v>245.39999999999998</v>
      </c>
      <c r="Q9" s="107">
        <v>10</v>
      </c>
      <c r="R9" s="108">
        <f>24.54*Q9</f>
        <v>245.39999999999998</v>
      </c>
      <c r="S9" s="107">
        <v>10</v>
      </c>
      <c r="T9" s="108">
        <f>24.54*S9</f>
        <v>245.39999999999998</v>
      </c>
      <c r="U9" s="107">
        <v>10</v>
      </c>
      <c r="V9" s="108">
        <f>24.54*U9</f>
        <v>245.39999999999998</v>
      </c>
      <c r="W9" s="107">
        <v>10</v>
      </c>
      <c r="X9" s="108">
        <f>24.54*W9</f>
        <v>245.39999999999998</v>
      </c>
      <c r="Y9" s="107">
        <v>10</v>
      </c>
      <c r="Z9" s="108">
        <f>24.54*Y9</f>
        <v>245.39999999999998</v>
      </c>
      <c r="AA9" s="107">
        <v>10</v>
      </c>
      <c r="AB9" s="108">
        <f>24.54*AA9</f>
        <v>245.39999999999998</v>
      </c>
      <c r="AC9" s="107">
        <v>10</v>
      </c>
      <c r="AD9" s="108">
        <f>24.54*AC9</f>
        <v>245.39999999999998</v>
      </c>
      <c r="AE9" s="130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</row>
    <row r="10" spans="1:194" s="95" customFormat="1" ht="15" customHeight="1" x14ac:dyDescent="0.2">
      <c r="A10" s="98"/>
      <c r="B10" s="99"/>
      <c r="C10" s="102" t="s">
        <v>230</v>
      </c>
      <c r="D10" s="103">
        <f t="shared" si="1"/>
        <v>84</v>
      </c>
      <c r="E10" s="104" t="s">
        <v>35</v>
      </c>
      <c r="F10" s="106">
        <f>14.98*D10</f>
        <v>1258.32</v>
      </c>
      <c r="G10" s="107">
        <v>7</v>
      </c>
      <c r="H10" s="108">
        <f>14.98*G10</f>
        <v>104.86</v>
      </c>
      <c r="I10" s="107">
        <v>7</v>
      </c>
      <c r="J10" s="108">
        <f>14.98*I10</f>
        <v>104.86</v>
      </c>
      <c r="K10" s="107">
        <v>7</v>
      </c>
      <c r="L10" s="108">
        <f>14.98*K10</f>
        <v>104.86</v>
      </c>
      <c r="M10" s="107">
        <v>7</v>
      </c>
      <c r="N10" s="108">
        <f>14.98*M10</f>
        <v>104.86</v>
      </c>
      <c r="O10" s="107">
        <v>7</v>
      </c>
      <c r="P10" s="108">
        <f>14.98*O10</f>
        <v>104.86</v>
      </c>
      <c r="Q10" s="107">
        <v>7</v>
      </c>
      <c r="R10" s="108">
        <f>14.98*Q10</f>
        <v>104.86</v>
      </c>
      <c r="S10" s="107">
        <v>7</v>
      </c>
      <c r="T10" s="108">
        <f>14.98*S10</f>
        <v>104.86</v>
      </c>
      <c r="U10" s="107">
        <v>7</v>
      </c>
      <c r="V10" s="108">
        <f>14.98*U10</f>
        <v>104.86</v>
      </c>
      <c r="W10" s="107">
        <v>7</v>
      </c>
      <c r="X10" s="108">
        <f>14.98*W10</f>
        <v>104.86</v>
      </c>
      <c r="Y10" s="107">
        <v>7</v>
      </c>
      <c r="Z10" s="108">
        <f>14.98*Y10</f>
        <v>104.86</v>
      </c>
      <c r="AA10" s="107">
        <v>7</v>
      </c>
      <c r="AB10" s="108">
        <f>14.98*AA10</f>
        <v>104.86</v>
      </c>
      <c r="AC10" s="107">
        <v>7</v>
      </c>
      <c r="AD10" s="108">
        <f>14.98*AC10</f>
        <v>104.86</v>
      </c>
      <c r="AE10" s="130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</row>
    <row r="11" spans="1:194" s="95" customFormat="1" ht="13.5" customHeight="1" x14ac:dyDescent="0.2">
      <c r="A11" s="98"/>
      <c r="B11" s="99"/>
      <c r="C11" s="102" t="s">
        <v>231</v>
      </c>
      <c r="D11" s="103">
        <f t="shared" si="1"/>
        <v>90</v>
      </c>
      <c r="E11" s="104" t="s">
        <v>35</v>
      </c>
      <c r="F11" s="106">
        <f>89.2*D11</f>
        <v>8028</v>
      </c>
      <c r="G11" s="107">
        <v>10</v>
      </c>
      <c r="H11" s="108">
        <f>89.2*G11</f>
        <v>892</v>
      </c>
      <c r="I11" s="107">
        <v>5</v>
      </c>
      <c r="J11" s="108">
        <f>89.2*I11</f>
        <v>446</v>
      </c>
      <c r="K11" s="107">
        <v>30</v>
      </c>
      <c r="L11" s="108">
        <f>89.2*K11</f>
        <v>2676</v>
      </c>
      <c r="M11" s="107">
        <v>5</v>
      </c>
      <c r="N11" s="108">
        <f>89.2*M11</f>
        <v>446</v>
      </c>
      <c r="O11" s="107">
        <v>5</v>
      </c>
      <c r="P11" s="108">
        <f>89.2*O11</f>
        <v>446</v>
      </c>
      <c r="Q11" s="107">
        <v>5</v>
      </c>
      <c r="R11" s="108">
        <f>89.2*Q11</f>
        <v>446</v>
      </c>
      <c r="S11" s="107">
        <v>5</v>
      </c>
      <c r="T11" s="108">
        <f>89.2*S11</f>
        <v>446</v>
      </c>
      <c r="U11" s="107">
        <v>5</v>
      </c>
      <c r="V11" s="108">
        <f>89.2*U11</f>
        <v>446</v>
      </c>
      <c r="W11" s="107">
        <v>5</v>
      </c>
      <c r="X11" s="108">
        <f>89.2*W11</f>
        <v>446</v>
      </c>
      <c r="Y11" s="107">
        <v>5</v>
      </c>
      <c r="Z11" s="108">
        <f>89.2*Y11</f>
        <v>446</v>
      </c>
      <c r="AA11" s="107">
        <v>5</v>
      </c>
      <c r="AB11" s="108">
        <f>89.2*AA11</f>
        <v>446</v>
      </c>
      <c r="AC11" s="107">
        <v>5</v>
      </c>
      <c r="AD11" s="108">
        <f>89.2*AC11</f>
        <v>446</v>
      </c>
      <c r="AE11" s="130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</row>
    <row r="12" spans="1:194" s="95" customFormat="1" ht="12.75" x14ac:dyDescent="0.2">
      <c r="A12" s="98"/>
      <c r="B12" s="99"/>
      <c r="C12" s="102" t="s">
        <v>37</v>
      </c>
      <c r="D12" s="103">
        <f t="shared" si="1"/>
        <v>101</v>
      </c>
      <c r="E12" s="104" t="s">
        <v>35</v>
      </c>
      <c r="F12" s="106">
        <f>31.62*D12</f>
        <v>3193.62</v>
      </c>
      <c r="G12" s="107">
        <v>7</v>
      </c>
      <c r="H12" s="108">
        <f>31.62*G12</f>
        <v>221.34</v>
      </c>
      <c r="I12" s="107">
        <v>8</v>
      </c>
      <c r="J12" s="108">
        <f>31.62*I12</f>
        <v>252.96</v>
      </c>
      <c r="K12" s="107">
        <v>20</v>
      </c>
      <c r="L12" s="108">
        <f>31.62*K12</f>
        <v>632.4</v>
      </c>
      <c r="M12" s="107">
        <v>10</v>
      </c>
      <c r="N12" s="108">
        <f>31.62*M12</f>
        <v>316.2</v>
      </c>
      <c r="O12" s="107">
        <v>7</v>
      </c>
      <c r="P12" s="108">
        <f>31.62*O12</f>
        <v>221.34</v>
      </c>
      <c r="Q12" s="107">
        <v>7</v>
      </c>
      <c r="R12" s="108">
        <f>31.62*Q12</f>
        <v>221.34</v>
      </c>
      <c r="S12" s="107">
        <v>7</v>
      </c>
      <c r="T12" s="108">
        <f>31.62*S12</f>
        <v>221.34</v>
      </c>
      <c r="U12" s="107">
        <v>7</v>
      </c>
      <c r="V12" s="108">
        <f>31.62*U12</f>
        <v>221.34</v>
      </c>
      <c r="W12" s="107">
        <v>7</v>
      </c>
      <c r="X12" s="108">
        <f>31.62*W12</f>
        <v>221.34</v>
      </c>
      <c r="Y12" s="107">
        <v>7</v>
      </c>
      <c r="Z12" s="108">
        <f>31.62*Y12</f>
        <v>221.34</v>
      </c>
      <c r="AA12" s="107">
        <v>7</v>
      </c>
      <c r="AB12" s="108">
        <f>31.62*AA12</f>
        <v>221.34</v>
      </c>
      <c r="AC12" s="107">
        <v>7</v>
      </c>
      <c r="AD12" s="108">
        <f>31.62*AC12</f>
        <v>221.34</v>
      </c>
      <c r="AE12" s="130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</row>
    <row r="13" spans="1:194" s="95" customFormat="1" ht="12.75" customHeight="1" x14ac:dyDescent="0.2">
      <c r="A13" s="101"/>
      <c r="B13" s="100"/>
      <c r="C13" s="102" t="s">
        <v>232</v>
      </c>
      <c r="D13" s="103">
        <f t="shared" si="1"/>
        <v>84</v>
      </c>
      <c r="E13" s="104" t="s">
        <v>35</v>
      </c>
      <c r="F13" s="106">
        <f>18.53*D13</f>
        <v>1556.52</v>
      </c>
      <c r="G13" s="107">
        <v>7</v>
      </c>
      <c r="H13" s="108">
        <f>18.53*G13</f>
        <v>129.71</v>
      </c>
      <c r="I13" s="107">
        <v>7</v>
      </c>
      <c r="J13" s="108">
        <f>18.53*I13</f>
        <v>129.71</v>
      </c>
      <c r="K13" s="107">
        <v>7</v>
      </c>
      <c r="L13" s="108">
        <f>18.53*K13</f>
        <v>129.71</v>
      </c>
      <c r="M13" s="107">
        <v>7</v>
      </c>
      <c r="N13" s="108">
        <f>18.53*M13</f>
        <v>129.71</v>
      </c>
      <c r="O13" s="107">
        <v>7</v>
      </c>
      <c r="P13" s="108">
        <f>18.53*O13</f>
        <v>129.71</v>
      </c>
      <c r="Q13" s="107">
        <v>7</v>
      </c>
      <c r="R13" s="108">
        <f>18.53*Q13</f>
        <v>129.71</v>
      </c>
      <c r="S13" s="107">
        <v>7</v>
      </c>
      <c r="T13" s="108">
        <f>18.53*S13</f>
        <v>129.71</v>
      </c>
      <c r="U13" s="107">
        <v>7</v>
      </c>
      <c r="V13" s="108">
        <f>18.53*U13</f>
        <v>129.71</v>
      </c>
      <c r="W13" s="107">
        <v>7</v>
      </c>
      <c r="X13" s="108">
        <f>18.53*W13</f>
        <v>129.71</v>
      </c>
      <c r="Y13" s="107">
        <v>7</v>
      </c>
      <c r="Z13" s="108">
        <f>18.53*Y13</f>
        <v>129.71</v>
      </c>
      <c r="AA13" s="107">
        <v>7</v>
      </c>
      <c r="AB13" s="108">
        <f>18.53*AA13</f>
        <v>129.71</v>
      </c>
      <c r="AC13" s="107">
        <v>7</v>
      </c>
      <c r="AD13" s="108">
        <f>18.53*AC13</f>
        <v>129.71</v>
      </c>
      <c r="AE13" s="130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</row>
    <row r="14" spans="1:194" s="95" customFormat="1" ht="12.75" customHeight="1" x14ac:dyDescent="0.2">
      <c r="A14" s="98"/>
      <c r="B14" s="99"/>
      <c r="C14" s="102" t="s">
        <v>233</v>
      </c>
      <c r="D14" s="103">
        <f>G14+I14+K14+M14+O14+Q14+S14+U14+W14+Y14+AA14+AC14</f>
        <v>240</v>
      </c>
      <c r="E14" s="104" t="s">
        <v>35</v>
      </c>
      <c r="F14" s="106">
        <f>182.02*D14</f>
        <v>43684.800000000003</v>
      </c>
      <c r="G14" s="107">
        <v>20</v>
      </c>
      <c r="H14" s="108">
        <f>182.02*G14</f>
        <v>3640.4</v>
      </c>
      <c r="I14" s="107">
        <v>20</v>
      </c>
      <c r="J14" s="108">
        <f>182.02*I14</f>
        <v>3640.4</v>
      </c>
      <c r="K14" s="107">
        <v>20</v>
      </c>
      <c r="L14" s="108">
        <f>182.02*K14</f>
        <v>3640.4</v>
      </c>
      <c r="M14" s="107">
        <v>20</v>
      </c>
      <c r="N14" s="108">
        <f>182.02*M14</f>
        <v>3640.4</v>
      </c>
      <c r="O14" s="107">
        <v>20</v>
      </c>
      <c r="P14" s="108">
        <f>182.02*O14</f>
        <v>3640.4</v>
      </c>
      <c r="Q14" s="107">
        <v>20</v>
      </c>
      <c r="R14" s="108">
        <f>182.02*Q14</f>
        <v>3640.4</v>
      </c>
      <c r="S14" s="107">
        <v>20</v>
      </c>
      <c r="T14" s="108">
        <f>182.02*S14</f>
        <v>3640.4</v>
      </c>
      <c r="U14" s="107">
        <v>20</v>
      </c>
      <c r="V14" s="108">
        <f>182.02*U14</f>
        <v>3640.4</v>
      </c>
      <c r="W14" s="107">
        <v>20</v>
      </c>
      <c r="X14" s="108">
        <f>182.02*W14</f>
        <v>3640.4</v>
      </c>
      <c r="Y14" s="107">
        <v>20</v>
      </c>
      <c r="Z14" s="108">
        <f>182.02*Y14</f>
        <v>3640.4</v>
      </c>
      <c r="AA14" s="107">
        <v>20</v>
      </c>
      <c r="AB14" s="108">
        <f>182.02*AA14</f>
        <v>3640.4</v>
      </c>
      <c r="AC14" s="107">
        <v>20</v>
      </c>
      <c r="AD14" s="108">
        <f>182.02*AC14</f>
        <v>3640.4</v>
      </c>
      <c r="AE14" s="130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</row>
    <row r="15" spans="1:194" s="95" customFormat="1" ht="12" customHeight="1" x14ac:dyDescent="0.2">
      <c r="A15" s="98"/>
      <c r="B15" s="99"/>
      <c r="C15" s="102" t="s">
        <v>234</v>
      </c>
      <c r="D15" s="103">
        <f t="shared" si="1"/>
        <v>120</v>
      </c>
      <c r="E15" s="104" t="s">
        <v>35</v>
      </c>
      <c r="F15" s="106">
        <f>12.72*D15</f>
        <v>1526.4</v>
      </c>
      <c r="G15" s="107">
        <v>10</v>
      </c>
      <c r="H15" s="108">
        <f>12.72*G15</f>
        <v>127.2</v>
      </c>
      <c r="I15" s="107">
        <v>10</v>
      </c>
      <c r="J15" s="108">
        <f>12.72*I15</f>
        <v>127.2</v>
      </c>
      <c r="K15" s="107">
        <v>10</v>
      </c>
      <c r="L15" s="108">
        <f>12.72*K15</f>
        <v>127.2</v>
      </c>
      <c r="M15" s="107">
        <v>10</v>
      </c>
      <c r="N15" s="108">
        <f>12.72*M15</f>
        <v>127.2</v>
      </c>
      <c r="O15" s="107">
        <v>10</v>
      </c>
      <c r="P15" s="108">
        <f>12.72*O15</f>
        <v>127.2</v>
      </c>
      <c r="Q15" s="107">
        <v>10</v>
      </c>
      <c r="R15" s="108">
        <f>12.72*Q15</f>
        <v>127.2</v>
      </c>
      <c r="S15" s="107">
        <v>10</v>
      </c>
      <c r="T15" s="108">
        <f>12.72*S15</f>
        <v>127.2</v>
      </c>
      <c r="U15" s="107">
        <v>10</v>
      </c>
      <c r="V15" s="108">
        <f>12.72*U15</f>
        <v>127.2</v>
      </c>
      <c r="W15" s="107">
        <v>10</v>
      </c>
      <c r="X15" s="108">
        <f>12.72*W15</f>
        <v>127.2</v>
      </c>
      <c r="Y15" s="107">
        <v>10</v>
      </c>
      <c r="Z15" s="108">
        <f>12.72*Y15</f>
        <v>127.2</v>
      </c>
      <c r="AA15" s="107">
        <v>10</v>
      </c>
      <c r="AB15" s="108">
        <f>12.72*AA15</f>
        <v>127.2</v>
      </c>
      <c r="AC15" s="107">
        <v>10</v>
      </c>
      <c r="AD15" s="108">
        <f>12.72*AC15</f>
        <v>127.2</v>
      </c>
      <c r="AE15" s="130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</row>
    <row r="16" spans="1:194" s="95" customFormat="1" ht="12.75" customHeight="1" x14ac:dyDescent="0.2">
      <c r="A16" s="98"/>
      <c r="B16" s="99"/>
      <c r="C16" s="102" t="s">
        <v>235</v>
      </c>
      <c r="D16" s="103">
        <f t="shared" si="1"/>
        <v>150</v>
      </c>
      <c r="E16" s="104" t="s">
        <v>35</v>
      </c>
      <c r="F16" s="106">
        <f>86.39*D16</f>
        <v>12958.5</v>
      </c>
      <c r="G16" s="107">
        <v>10</v>
      </c>
      <c r="H16" s="108">
        <f>86.39*G16</f>
        <v>863.9</v>
      </c>
      <c r="I16" s="107">
        <v>15</v>
      </c>
      <c r="J16" s="108">
        <f>86.39*I16</f>
        <v>1295.8499999999999</v>
      </c>
      <c r="K16" s="107">
        <v>10</v>
      </c>
      <c r="L16" s="108">
        <f>86.39*K16</f>
        <v>863.9</v>
      </c>
      <c r="M16" s="107">
        <v>15</v>
      </c>
      <c r="N16" s="108">
        <f>86.39*M16</f>
        <v>1295.8499999999999</v>
      </c>
      <c r="O16" s="107">
        <v>10</v>
      </c>
      <c r="P16" s="108">
        <f>86.39*O16</f>
        <v>863.9</v>
      </c>
      <c r="Q16" s="107">
        <v>15</v>
      </c>
      <c r="R16" s="108">
        <f>86.39*Q16</f>
        <v>1295.8499999999999</v>
      </c>
      <c r="S16" s="107">
        <v>10</v>
      </c>
      <c r="T16" s="108">
        <f>86.39*S16</f>
        <v>863.9</v>
      </c>
      <c r="U16" s="107">
        <v>15</v>
      </c>
      <c r="V16" s="108">
        <f>86.39*U16</f>
        <v>1295.8499999999999</v>
      </c>
      <c r="W16" s="107">
        <v>10</v>
      </c>
      <c r="X16" s="108">
        <f>86.39*W16</f>
        <v>863.9</v>
      </c>
      <c r="Y16" s="107">
        <v>15</v>
      </c>
      <c r="Z16" s="108">
        <f>86.39*Y16</f>
        <v>1295.8499999999999</v>
      </c>
      <c r="AA16" s="107">
        <v>10</v>
      </c>
      <c r="AB16" s="108">
        <f>86.39*AA16</f>
        <v>863.9</v>
      </c>
      <c r="AC16" s="107">
        <v>15</v>
      </c>
      <c r="AD16" s="108">
        <f>86.39*AC16</f>
        <v>1295.8499999999999</v>
      </c>
      <c r="AE16" s="130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</row>
    <row r="17" spans="1:194" s="95" customFormat="1" ht="12.75" customHeight="1" x14ac:dyDescent="0.2">
      <c r="A17" s="98"/>
      <c r="B17" s="99"/>
      <c r="C17" s="102" t="s">
        <v>236</v>
      </c>
      <c r="D17" s="103">
        <f t="shared" si="1"/>
        <v>150</v>
      </c>
      <c r="E17" s="104" t="s">
        <v>35</v>
      </c>
      <c r="F17" s="106">
        <f>86.39*D17</f>
        <v>12958.5</v>
      </c>
      <c r="G17" s="107">
        <v>10</v>
      </c>
      <c r="H17" s="108">
        <f>86.39*G17</f>
        <v>863.9</v>
      </c>
      <c r="I17" s="107">
        <v>15</v>
      </c>
      <c r="J17" s="108">
        <f>86.39*I17</f>
        <v>1295.8499999999999</v>
      </c>
      <c r="K17" s="107">
        <v>10</v>
      </c>
      <c r="L17" s="108">
        <f>86.39*K17</f>
        <v>863.9</v>
      </c>
      <c r="M17" s="107">
        <v>15</v>
      </c>
      <c r="N17" s="108">
        <f>86.39*M17</f>
        <v>1295.8499999999999</v>
      </c>
      <c r="O17" s="107">
        <v>10</v>
      </c>
      <c r="P17" s="108">
        <f>86.39*O17</f>
        <v>863.9</v>
      </c>
      <c r="Q17" s="107">
        <v>15</v>
      </c>
      <c r="R17" s="108">
        <f>86.39*Q17</f>
        <v>1295.8499999999999</v>
      </c>
      <c r="S17" s="107">
        <v>10</v>
      </c>
      <c r="T17" s="108">
        <f>86.39*S17</f>
        <v>863.9</v>
      </c>
      <c r="U17" s="107">
        <v>15</v>
      </c>
      <c r="V17" s="108">
        <f>86.39*U17</f>
        <v>1295.8499999999999</v>
      </c>
      <c r="W17" s="107">
        <v>10</v>
      </c>
      <c r="X17" s="108">
        <f>86.39*W17</f>
        <v>863.9</v>
      </c>
      <c r="Y17" s="107">
        <v>15</v>
      </c>
      <c r="Z17" s="108">
        <f>86.39*Y17</f>
        <v>1295.8499999999999</v>
      </c>
      <c r="AA17" s="107">
        <v>10</v>
      </c>
      <c r="AB17" s="108">
        <f>86.39*AA17</f>
        <v>863.9</v>
      </c>
      <c r="AC17" s="107">
        <v>15</v>
      </c>
      <c r="AD17" s="108">
        <f>86.39*AC17</f>
        <v>1295.8499999999999</v>
      </c>
      <c r="AE17" s="130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</row>
    <row r="18" spans="1:194" s="95" customFormat="1" ht="12.75" customHeight="1" x14ac:dyDescent="0.2">
      <c r="A18" s="98"/>
      <c r="B18" s="99"/>
      <c r="C18" s="102" t="s">
        <v>237</v>
      </c>
      <c r="D18" s="103">
        <f t="shared" si="1"/>
        <v>150</v>
      </c>
      <c r="E18" s="104" t="s">
        <v>35</v>
      </c>
      <c r="F18" s="106">
        <f>86.39*D18</f>
        <v>12958.5</v>
      </c>
      <c r="G18" s="107">
        <v>10</v>
      </c>
      <c r="H18" s="108">
        <f>86.39*G18</f>
        <v>863.9</v>
      </c>
      <c r="I18" s="107">
        <v>15</v>
      </c>
      <c r="J18" s="108">
        <f>86.39*I18</f>
        <v>1295.8499999999999</v>
      </c>
      <c r="K18" s="107">
        <v>10</v>
      </c>
      <c r="L18" s="108">
        <f>86.39*K18</f>
        <v>863.9</v>
      </c>
      <c r="M18" s="107">
        <v>15</v>
      </c>
      <c r="N18" s="108">
        <f>86.39*M18</f>
        <v>1295.8499999999999</v>
      </c>
      <c r="O18" s="107">
        <v>10</v>
      </c>
      <c r="P18" s="108">
        <f>86.39*O18</f>
        <v>863.9</v>
      </c>
      <c r="Q18" s="107">
        <v>15</v>
      </c>
      <c r="R18" s="108">
        <f>86.39*Q18</f>
        <v>1295.8499999999999</v>
      </c>
      <c r="S18" s="107">
        <v>10</v>
      </c>
      <c r="T18" s="108">
        <f>86.39*S18</f>
        <v>863.9</v>
      </c>
      <c r="U18" s="107">
        <v>15</v>
      </c>
      <c r="V18" s="108">
        <f>86.39*U18</f>
        <v>1295.8499999999999</v>
      </c>
      <c r="W18" s="107">
        <v>10</v>
      </c>
      <c r="X18" s="108">
        <f>86.39*W18</f>
        <v>863.9</v>
      </c>
      <c r="Y18" s="107">
        <v>15</v>
      </c>
      <c r="Z18" s="108">
        <f>86.39*Y18</f>
        <v>1295.8499999999999</v>
      </c>
      <c r="AA18" s="107">
        <v>10</v>
      </c>
      <c r="AB18" s="108">
        <f>86.39*AA18</f>
        <v>863.9</v>
      </c>
      <c r="AC18" s="107">
        <v>15</v>
      </c>
      <c r="AD18" s="108">
        <f>86.39*AC18</f>
        <v>1295.8499999999999</v>
      </c>
      <c r="AE18" s="130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</row>
    <row r="19" spans="1:194" s="95" customFormat="1" ht="11.25" customHeight="1" x14ac:dyDescent="0.2">
      <c r="A19" s="98"/>
      <c r="B19" s="99"/>
      <c r="C19" s="102" t="s">
        <v>238</v>
      </c>
      <c r="D19" s="103">
        <f t="shared" si="1"/>
        <v>180</v>
      </c>
      <c r="E19" s="104" t="s">
        <v>35</v>
      </c>
      <c r="F19" s="106">
        <f>8.69*D19</f>
        <v>1564.1999999999998</v>
      </c>
      <c r="G19" s="107">
        <v>15</v>
      </c>
      <c r="H19" s="108">
        <f>8.69*G19</f>
        <v>130.35</v>
      </c>
      <c r="I19" s="107">
        <v>15</v>
      </c>
      <c r="J19" s="108">
        <f>8.69*I19</f>
        <v>130.35</v>
      </c>
      <c r="K19" s="107">
        <v>15</v>
      </c>
      <c r="L19" s="108">
        <f>8.69*K19</f>
        <v>130.35</v>
      </c>
      <c r="M19" s="107">
        <v>15</v>
      </c>
      <c r="N19" s="108">
        <f>8.69*M19</f>
        <v>130.35</v>
      </c>
      <c r="O19" s="107">
        <v>15</v>
      </c>
      <c r="P19" s="108">
        <f>8.69*O19</f>
        <v>130.35</v>
      </c>
      <c r="Q19" s="107">
        <v>15</v>
      </c>
      <c r="R19" s="108">
        <f>8.69*Q19</f>
        <v>130.35</v>
      </c>
      <c r="S19" s="107">
        <v>15</v>
      </c>
      <c r="T19" s="108">
        <f>8.69*S19</f>
        <v>130.35</v>
      </c>
      <c r="U19" s="107">
        <v>15</v>
      </c>
      <c r="V19" s="108">
        <f>8.69*U19</f>
        <v>130.35</v>
      </c>
      <c r="W19" s="107">
        <v>15</v>
      </c>
      <c r="X19" s="108">
        <f>8.69*W19</f>
        <v>130.35</v>
      </c>
      <c r="Y19" s="107">
        <v>15</v>
      </c>
      <c r="Z19" s="108">
        <f>8.69*Y19</f>
        <v>130.35</v>
      </c>
      <c r="AA19" s="107">
        <v>15</v>
      </c>
      <c r="AB19" s="108">
        <f>8.69*AA19</f>
        <v>130.35</v>
      </c>
      <c r="AC19" s="107">
        <v>15</v>
      </c>
      <c r="AD19" s="108">
        <f>8.69*AC19</f>
        <v>130.35</v>
      </c>
      <c r="AE19" s="130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</row>
    <row r="20" spans="1:194" s="95" customFormat="1" ht="15" customHeight="1" x14ac:dyDescent="0.2">
      <c r="A20" s="98"/>
      <c r="B20" s="99"/>
      <c r="C20" s="102" t="s">
        <v>239</v>
      </c>
      <c r="D20" s="103">
        <f t="shared" si="1"/>
        <v>180</v>
      </c>
      <c r="E20" s="104" t="s">
        <v>35</v>
      </c>
      <c r="F20" s="106">
        <f>8.69*D20</f>
        <v>1564.1999999999998</v>
      </c>
      <c r="G20" s="107">
        <v>15</v>
      </c>
      <c r="H20" s="108">
        <f>8.69*G20</f>
        <v>130.35</v>
      </c>
      <c r="I20" s="107">
        <v>15</v>
      </c>
      <c r="J20" s="108">
        <f>8.69*I20</f>
        <v>130.35</v>
      </c>
      <c r="K20" s="107">
        <v>15</v>
      </c>
      <c r="L20" s="108">
        <f>8.69*K20</f>
        <v>130.35</v>
      </c>
      <c r="M20" s="107">
        <v>15</v>
      </c>
      <c r="N20" s="108">
        <f>8.69*M20</f>
        <v>130.35</v>
      </c>
      <c r="O20" s="107">
        <v>15</v>
      </c>
      <c r="P20" s="108">
        <f>8.69*O20</f>
        <v>130.35</v>
      </c>
      <c r="Q20" s="107">
        <v>15</v>
      </c>
      <c r="R20" s="108">
        <f>8.69*Q20</f>
        <v>130.35</v>
      </c>
      <c r="S20" s="107">
        <v>15</v>
      </c>
      <c r="T20" s="108">
        <f>8.69*S20</f>
        <v>130.35</v>
      </c>
      <c r="U20" s="107">
        <v>15</v>
      </c>
      <c r="V20" s="108">
        <f>8.69*U20</f>
        <v>130.35</v>
      </c>
      <c r="W20" s="107">
        <v>15</v>
      </c>
      <c r="X20" s="108">
        <f>8.69*W20</f>
        <v>130.35</v>
      </c>
      <c r="Y20" s="107">
        <v>15</v>
      </c>
      <c r="Z20" s="108">
        <f>8.69*Y20</f>
        <v>130.35</v>
      </c>
      <c r="AA20" s="107">
        <v>15</v>
      </c>
      <c r="AB20" s="108">
        <f>8.69*AA20</f>
        <v>130.35</v>
      </c>
      <c r="AC20" s="107">
        <v>15</v>
      </c>
      <c r="AD20" s="108">
        <f>8.69*AC20</f>
        <v>130.35</v>
      </c>
      <c r="AE20" s="130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</row>
    <row r="21" spans="1:194" s="95" customFormat="1" ht="15" customHeight="1" x14ac:dyDescent="0.2">
      <c r="A21" s="98"/>
      <c r="B21" s="99"/>
      <c r="C21" s="102" t="s">
        <v>36</v>
      </c>
      <c r="D21" s="103">
        <f t="shared" si="1"/>
        <v>96</v>
      </c>
      <c r="E21" s="104" t="s">
        <v>35</v>
      </c>
      <c r="F21" s="106">
        <f>4.47*D21</f>
        <v>429.12</v>
      </c>
      <c r="G21" s="107">
        <v>8</v>
      </c>
      <c r="H21" s="108">
        <f>4.47*G21</f>
        <v>35.76</v>
      </c>
      <c r="I21" s="107">
        <v>8</v>
      </c>
      <c r="J21" s="108">
        <f>4.47*I21</f>
        <v>35.76</v>
      </c>
      <c r="K21" s="107">
        <v>8</v>
      </c>
      <c r="L21" s="108">
        <f>4.47*K21</f>
        <v>35.76</v>
      </c>
      <c r="M21" s="107">
        <v>8</v>
      </c>
      <c r="N21" s="108">
        <f>4.47*M21</f>
        <v>35.76</v>
      </c>
      <c r="O21" s="107">
        <v>8</v>
      </c>
      <c r="P21" s="108">
        <f>4.47*O21</f>
        <v>35.76</v>
      </c>
      <c r="Q21" s="107">
        <v>8</v>
      </c>
      <c r="R21" s="108">
        <f>4.47*Q21</f>
        <v>35.76</v>
      </c>
      <c r="S21" s="107">
        <v>8</v>
      </c>
      <c r="T21" s="108">
        <f>4.47*S21</f>
        <v>35.76</v>
      </c>
      <c r="U21" s="107">
        <v>8</v>
      </c>
      <c r="V21" s="108">
        <f>4.47*U21</f>
        <v>35.76</v>
      </c>
      <c r="W21" s="107">
        <v>8</v>
      </c>
      <c r="X21" s="108">
        <f>4.47*W21</f>
        <v>35.76</v>
      </c>
      <c r="Y21" s="107">
        <v>8</v>
      </c>
      <c r="Z21" s="108">
        <f>4.47*Y21</f>
        <v>35.76</v>
      </c>
      <c r="AA21" s="107">
        <v>8</v>
      </c>
      <c r="AB21" s="108">
        <f>4.47*AA21</f>
        <v>35.76</v>
      </c>
      <c r="AC21" s="107">
        <v>8</v>
      </c>
      <c r="AD21" s="108">
        <f>4.47*AC21</f>
        <v>35.76</v>
      </c>
      <c r="AE21" s="130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</row>
    <row r="22" spans="1:194" s="95" customFormat="1" ht="15" customHeight="1" x14ac:dyDescent="0.2">
      <c r="A22" s="98"/>
      <c r="B22" s="99"/>
      <c r="C22" s="102" t="s">
        <v>240</v>
      </c>
      <c r="D22" s="103">
        <f t="shared" si="1"/>
        <v>120</v>
      </c>
      <c r="E22" s="104" t="s">
        <v>35</v>
      </c>
      <c r="F22" s="106">
        <f>0.64*D22</f>
        <v>76.8</v>
      </c>
      <c r="G22" s="107">
        <v>10</v>
      </c>
      <c r="H22" s="108">
        <f>0.64*G22</f>
        <v>6.4</v>
      </c>
      <c r="I22" s="107">
        <v>10</v>
      </c>
      <c r="J22" s="108">
        <f>0.64*I22</f>
        <v>6.4</v>
      </c>
      <c r="K22" s="107">
        <v>10</v>
      </c>
      <c r="L22" s="108">
        <f>0.64*K22</f>
        <v>6.4</v>
      </c>
      <c r="M22" s="107">
        <v>10</v>
      </c>
      <c r="N22" s="108">
        <f>0.64*M22</f>
        <v>6.4</v>
      </c>
      <c r="O22" s="107">
        <v>10</v>
      </c>
      <c r="P22" s="108">
        <f>0.64*O22</f>
        <v>6.4</v>
      </c>
      <c r="Q22" s="107">
        <v>10</v>
      </c>
      <c r="R22" s="108">
        <f>0.64*Q22</f>
        <v>6.4</v>
      </c>
      <c r="S22" s="107">
        <v>10</v>
      </c>
      <c r="T22" s="108">
        <f>0.64*S22</f>
        <v>6.4</v>
      </c>
      <c r="U22" s="107">
        <v>10</v>
      </c>
      <c r="V22" s="108">
        <f>0.64*U22</f>
        <v>6.4</v>
      </c>
      <c r="W22" s="107">
        <v>10</v>
      </c>
      <c r="X22" s="108">
        <f>0.64*W22</f>
        <v>6.4</v>
      </c>
      <c r="Y22" s="107">
        <v>10</v>
      </c>
      <c r="Z22" s="108">
        <f>0.64*Y22</f>
        <v>6.4</v>
      </c>
      <c r="AA22" s="107">
        <v>10</v>
      </c>
      <c r="AB22" s="108">
        <f>0.64*AA22</f>
        <v>6.4</v>
      </c>
      <c r="AC22" s="107">
        <v>10</v>
      </c>
      <c r="AD22" s="108">
        <f>0.64*AC22</f>
        <v>6.4</v>
      </c>
      <c r="AE22" s="130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</row>
    <row r="23" spans="1:194" s="95" customFormat="1" ht="24" x14ac:dyDescent="0.2">
      <c r="A23" s="98"/>
      <c r="B23" s="99"/>
      <c r="C23" s="102" t="s">
        <v>263</v>
      </c>
      <c r="D23" s="103">
        <f t="shared" ref="D23:D51" si="2">G23+I23+K23+M23+O23+Q23+S23+U23+W23+Y23+AA23+AC23</f>
        <v>2000</v>
      </c>
      <c r="E23" s="104" t="s">
        <v>241</v>
      </c>
      <c r="F23" s="106">
        <f>5.45*D23</f>
        <v>10900</v>
      </c>
      <c r="G23" s="107">
        <v>0</v>
      </c>
      <c r="H23" s="108">
        <f>5.45*G23</f>
        <v>0</v>
      </c>
      <c r="I23" s="107">
        <v>500</v>
      </c>
      <c r="J23" s="108">
        <f>5.45*I23</f>
        <v>2725</v>
      </c>
      <c r="K23" s="107">
        <v>0</v>
      </c>
      <c r="L23" s="108">
        <f>5.45*K23</f>
        <v>0</v>
      </c>
      <c r="M23" s="107">
        <v>0</v>
      </c>
      <c r="N23" s="108">
        <f>5.45*M23</f>
        <v>0</v>
      </c>
      <c r="O23" s="107">
        <v>500</v>
      </c>
      <c r="P23" s="108">
        <f>5.45*O23</f>
        <v>2725</v>
      </c>
      <c r="Q23" s="107">
        <v>0</v>
      </c>
      <c r="R23" s="108">
        <f>5.45*Q23</f>
        <v>0</v>
      </c>
      <c r="S23" s="107">
        <v>0</v>
      </c>
      <c r="T23" s="108">
        <f>5.45*S23</f>
        <v>0</v>
      </c>
      <c r="U23" s="107">
        <v>500</v>
      </c>
      <c r="V23" s="108">
        <f>5.45*U23</f>
        <v>2725</v>
      </c>
      <c r="W23" s="107">
        <v>0</v>
      </c>
      <c r="X23" s="108">
        <f>5.45*W23</f>
        <v>0</v>
      </c>
      <c r="Y23" s="107">
        <v>0</v>
      </c>
      <c r="Z23" s="108">
        <f>5.45*Y23</f>
        <v>0</v>
      </c>
      <c r="AA23" s="107">
        <v>500</v>
      </c>
      <c r="AB23" s="108">
        <f>5.45*AA23</f>
        <v>2725</v>
      </c>
      <c r="AC23" s="107">
        <v>0</v>
      </c>
      <c r="AD23" s="108">
        <f>5.45*AC23</f>
        <v>0</v>
      </c>
      <c r="AE23" s="130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</row>
    <row r="24" spans="1:194" s="95" customFormat="1" ht="24" x14ac:dyDescent="0.2">
      <c r="A24" s="98"/>
      <c r="B24" s="99"/>
      <c r="C24" s="102" t="s">
        <v>264</v>
      </c>
      <c r="D24" s="103">
        <f t="shared" si="2"/>
        <v>2000</v>
      </c>
      <c r="E24" s="104" t="s">
        <v>241</v>
      </c>
      <c r="F24" s="106">
        <f>6.38*D24</f>
        <v>12760</v>
      </c>
      <c r="G24" s="107">
        <v>0</v>
      </c>
      <c r="H24" s="108">
        <f>6.38*G24</f>
        <v>0</v>
      </c>
      <c r="I24" s="107">
        <v>500</v>
      </c>
      <c r="J24" s="108">
        <f>6.38*I24</f>
        <v>3190</v>
      </c>
      <c r="K24" s="107">
        <v>0</v>
      </c>
      <c r="L24" s="108">
        <f>6.38*K24</f>
        <v>0</v>
      </c>
      <c r="M24" s="107">
        <v>0</v>
      </c>
      <c r="N24" s="108">
        <f>6.38*M24</f>
        <v>0</v>
      </c>
      <c r="O24" s="107">
        <v>500</v>
      </c>
      <c r="P24" s="108">
        <f>6.38*O24</f>
        <v>3190</v>
      </c>
      <c r="Q24" s="107">
        <v>0</v>
      </c>
      <c r="R24" s="108">
        <f>6.38*Q24</f>
        <v>0</v>
      </c>
      <c r="S24" s="107">
        <v>0</v>
      </c>
      <c r="T24" s="108">
        <f>6.38*S24</f>
        <v>0</v>
      </c>
      <c r="U24" s="107">
        <v>500</v>
      </c>
      <c r="V24" s="108">
        <f>6.38*U24</f>
        <v>3190</v>
      </c>
      <c r="W24" s="107">
        <v>0</v>
      </c>
      <c r="X24" s="108">
        <f>6.38*W24</f>
        <v>0</v>
      </c>
      <c r="Y24" s="107">
        <v>0</v>
      </c>
      <c r="Z24" s="108">
        <f>6.38*Y24</f>
        <v>0</v>
      </c>
      <c r="AA24" s="107">
        <v>500</v>
      </c>
      <c r="AB24" s="108">
        <f>6.38*AA24</f>
        <v>3190</v>
      </c>
      <c r="AC24" s="107">
        <v>0</v>
      </c>
      <c r="AD24" s="108">
        <f>6.38*AC24</f>
        <v>0</v>
      </c>
      <c r="AE24" s="130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</row>
    <row r="25" spans="1:194" s="95" customFormat="1" ht="24" x14ac:dyDescent="0.2">
      <c r="A25" s="98"/>
      <c r="B25" s="99"/>
      <c r="C25" s="102" t="s">
        <v>265</v>
      </c>
      <c r="D25" s="103">
        <f t="shared" si="2"/>
        <v>2000</v>
      </c>
      <c r="E25" s="104" t="s">
        <v>241</v>
      </c>
      <c r="F25" s="106">
        <f>6.38*D25</f>
        <v>12760</v>
      </c>
      <c r="G25" s="107">
        <v>0</v>
      </c>
      <c r="H25" s="108">
        <f>6.38*G25</f>
        <v>0</v>
      </c>
      <c r="I25" s="107">
        <v>500</v>
      </c>
      <c r="J25" s="108">
        <f>6.38*I25</f>
        <v>3190</v>
      </c>
      <c r="K25" s="107">
        <v>0</v>
      </c>
      <c r="L25" s="108">
        <f>6.38*K25</f>
        <v>0</v>
      </c>
      <c r="M25" s="107">
        <v>0</v>
      </c>
      <c r="N25" s="108">
        <f>6.38*M25</f>
        <v>0</v>
      </c>
      <c r="O25" s="107">
        <v>500</v>
      </c>
      <c r="P25" s="108">
        <f>6.38*O25</f>
        <v>3190</v>
      </c>
      <c r="Q25" s="107">
        <v>0</v>
      </c>
      <c r="R25" s="108">
        <f>6.38*Q25</f>
        <v>0</v>
      </c>
      <c r="S25" s="107">
        <v>0</v>
      </c>
      <c r="T25" s="108">
        <f>6.38*S25</f>
        <v>0</v>
      </c>
      <c r="U25" s="107">
        <v>500</v>
      </c>
      <c r="V25" s="108">
        <f>6.38*U25</f>
        <v>3190</v>
      </c>
      <c r="W25" s="107">
        <v>0</v>
      </c>
      <c r="X25" s="108">
        <f>6.38*W25</f>
        <v>0</v>
      </c>
      <c r="Y25" s="107">
        <v>0</v>
      </c>
      <c r="Z25" s="108">
        <f>6.38*Y25</f>
        <v>0</v>
      </c>
      <c r="AA25" s="107">
        <v>500</v>
      </c>
      <c r="AB25" s="108">
        <f>6.38*AA25</f>
        <v>3190</v>
      </c>
      <c r="AC25" s="107">
        <v>0</v>
      </c>
      <c r="AD25" s="108">
        <f>6.38*AC25</f>
        <v>0</v>
      </c>
      <c r="AE25" s="130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</row>
    <row r="26" spans="1:194" s="95" customFormat="1" ht="24" x14ac:dyDescent="0.2">
      <c r="A26" s="98"/>
      <c r="B26" s="99"/>
      <c r="C26" s="102" t="s">
        <v>266</v>
      </c>
      <c r="D26" s="103">
        <f t="shared" si="2"/>
        <v>2000</v>
      </c>
      <c r="E26" s="104" t="s">
        <v>241</v>
      </c>
      <c r="F26" s="106">
        <f>6.38*D26</f>
        <v>12760</v>
      </c>
      <c r="G26" s="107">
        <v>0</v>
      </c>
      <c r="H26" s="108">
        <f>6.38*G26</f>
        <v>0</v>
      </c>
      <c r="I26" s="107">
        <v>500</v>
      </c>
      <c r="J26" s="108">
        <f>6.38*I26</f>
        <v>3190</v>
      </c>
      <c r="K26" s="107">
        <v>0</v>
      </c>
      <c r="L26" s="108">
        <f>6.38*K26</f>
        <v>0</v>
      </c>
      <c r="M26" s="107">
        <v>0</v>
      </c>
      <c r="N26" s="108">
        <f>6.38*M26</f>
        <v>0</v>
      </c>
      <c r="O26" s="107">
        <v>500</v>
      </c>
      <c r="P26" s="108">
        <f>6.38*O26</f>
        <v>3190</v>
      </c>
      <c r="Q26" s="107">
        <v>0</v>
      </c>
      <c r="R26" s="108">
        <f>6.38*Q26</f>
        <v>0</v>
      </c>
      <c r="S26" s="107">
        <v>0</v>
      </c>
      <c r="T26" s="108">
        <f>6.38*S26</f>
        <v>0</v>
      </c>
      <c r="U26" s="107">
        <v>500</v>
      </c>
      <c r="V26" s="108">
        <f>6.38*U26</f>
        <v>3190</v>
      </c>
      <c r="W26" s="107">
        <v>0</v>
      </c>
      <c r="X26" s="108">
        <f>6.38*W26</f>
        <v>0</v>
      </c>
      <c r="Y26" s="107">
        <v>0</v>
      </c>
      <c r="Z26" s="108">
        <f>6.38*Y26</f>
        <v>0</v>
      </c>
      <c r="AA26" s="107">
        <v>500</v>
      </c>
      <c r="AB26" s="108">
        <f>6.38*AA26</f>
        <v>3190</v>
      </c>
      <c r="AC26" s="107">
        <v>0</v>
      </c>
      <c r="AD26" s="108">
        <f>6.38*AC26</f>
        <v>0</v>
      </c>
      <c r="AE26" s="130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</row>
    <row r="27" spans="1:194" s="95" customFormat="1" ht="12.75" x14ac:dyDescent="0.2">
      <c r="A27" s="98"/>
      <c r="B27" s="99"/>
      <c r="C27" s="102" t="s">
        <v>242</v>
      </c>
      <c r="D27" s="103">
        <f t="shared" si="2"/>
        <v>900</v>
      </c>
      <c r="E27" s="104" t="s">
        <v>241</v>
      </c>
      <c r="F27" s="106">
        <f>3.88*D27</f>
        <v>3492</v>
      </c>
      <c r="G27" s="107">
        <v>0</v>
      </c>
      <c r="H27" s="108">
        <f>3.88*G27</f>
        <v>0</v>
      </c>
      <c r="I27" s="107">
        <v>225</v>
      </c>
      <c r="J27" s="108">
        <f>3.88*I27</f>
        <v>873</v>
      </c>
      <c r="K27" s="107">
        <v>0</v>
      </c>
      <c r="L27" s="108">
        <f>3.88*K27</f>
        <v>0</v>
      </c>
      <c r="M27" s="107">
        <v>0</v>
      </c>
      <c r="N27" s="108">
        <f>3.88*M27</f>
        <v>0</v>
      </c>
      <c r="O27" s="107">
        <v>225</v>
      </c>
      <c r="P27" s="108">
        <f>3.88*O27</f>
        <v>873</v>
      </c>
      <c r="Q27" s="107">
        <v>0</v>
      </c>
      <c r="R27" s="108">
        <f>3.88*Q27</f>
        <v>0</v>
      </c>
      <c r="S27" s="107">
        <v>0</v>
      </c>
      <c r="T27" s="108">
        <f>3.88*S27</f>
        <v>0</v>
      </c>
      <c r="U27" s="107">
        <v>225</v>
      </c>
      <c r="V27" s="108">
        <f>3.88*U27</f>
        <v>873</v>
      </c>
      <c r="W27" s="107">
        <v>0</v>
      </c>
      <c r="X27" s="108">
        <f>3.88*W27</f>
        <v>0</v>
      </c>
      <c r="Y27" s="107">
        <v>0</v>
      </c>
      <c r="Z27" s="108">
        <f>3.88*Y27</f>
        <v>0</v>
      </c>
      <c r="AA27" s="107">
        <v>225</v>
      </c>
      <c r="AB27" s="108">
        <f>3.88*AA27</f>
        <v>873</v>
      </c>
      <c r="AC27" s="107">
        <v>0</v>
      </c>
      <c r="AD27" s="108">
        <f>3.88*AC27</f>
        <v>0</v>
      </c>
      <c r="AE27" s="130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</row>
    <row r="28" spans="1:194" s="95" customFormat="1" ht="11.25" customHeight="1" x14ac:dyDescent="0.2">
      <c r="A28" s="98"/>
      <c r="B28" s="99"/>
      <c r="C28" s="102" t="s">
        <v>148</v>
      </c>
      <c r="D28" s="103">
        <f t="shared" si="2"/>
        <v>240</v>
      </c>
      <c r="E28" s="104" t="s">
        <v>34</v>
      </c>
      <c r="F28" s="106">
        <f>141.09*D28</f>
        <v>33861.599999999999</v>
      </c>
      <c r="G28" s="107">
        <v>20</v>
      </c>
      <c r="H28" s="108">
        <f>141.09*G28</f>
        <v>2821.8</v>
      </c>
      <c r="I28" s="107">
        <v>20</v>
      </c>
      <c r="J28" s="108">
        <f>141.09*I28</f>
        <v>2821.8</v>
      </c>
      <c r="K28" s="107">
        <v>20</v>
      </c>
      <c r="L28" s="108">
        <f>141.09*K28</f>
        <v>2821.8</v>
      </c>
      <c r="M28" s="107">
        <v>20</v>
      </c>
      <c r="N28" s="108">
        <f>141.09*M28</f>
        <v>2821.8</v>
      </c>
      <c r="O28" s="107">
        <v>20</v>
      </c>
      <c r="P28" s="108">
        <f>141.09*O28</f>
        <v>2821.8</v>
      </c>
      <c r="Q28" s="107">
        <v>20</v>
      </c>
      <c r="R28" s="108">
        <f>141.09*Q28</f>
        <v>2821.8</v>
      </c>
      <c r="S28" s="107">
        <v>20</v>
      </c>
      <c r="T28" s="108">
        <f>141.09*S28</f>
        <v>2821.8</v>
      </c>
      <c r="U28" s="107">
        <v>20</v>
      </c>
      <c r="V28" s="108">
        <f>141.09*U28</f>
        <v>2821.8</v>
      </c>
      <c r="W28" s="107">
        <v>20</v>
      </c>
      <c r="X28" s="108">
        <f>141.09*W28</f>
        <v>2821.8</v>
      </c>
      <c r="Y28" s="107">
        <v>20</v>
      </c>
      <c r="Z28" s="108">
        <f>141.09*Y28</f>
        <v>2821.8</v>
      </c>
      <c r="AA28" s="107">
        <v>20</v>
      </c>
      <c r="AB28" s="108">
        <f>141.09*AA28</f>
        <v>2821.8</v>
      </c>
      <c r="AC28" s="107">
        <v>20</v>
      </c>
      <c r="AD28" s="108">
        <f>141.09*AC28</f>
        <v>2821.8</v>
      </c>
      <c r="AE28" s="130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</row>
    <row r="29" spans="1:194" s="95" customFormat="1" ht="11.25" customHeight="1" x14ac:dyDescent="0.2">
      <c r="A29" s="98"/>
      <c r="B29" s="99"/>
      <c r="C29" s="102" t="s">
        <v>149</v>
      </c>
      <c r="D29" s="103">
        <f t="shared" si="2"/>
        <v>180</v>
      </c>
      <c r="E29" s="104" t="s">
        <v>34</v>
      </c>
      <c r="F29" s="106">
        <f>155.22*D29</f>
        <v>27939.599999999999</v>
      </c>
      <c r="G29" s="107">
        <v>15</v>
      </c>
      <c r="H29" s="108">
        <f>155.22*G29</f>
        <v>2328.3000000000002</v>
      </c>
      <c r="I29" s="107">
        <v>15</v>
      </c>
      <c r="J29" s="108">
        <f>155.22*I29</f>
        <v>2328.3000000000002</v>
      </c>
      <c r="K29" s="107">
        <v>15</v>
      </c>
      <c r="L29" s="108">
        <f>155.22*K29</f>
        <v>2328.3000000000002</v>
      </c>
      <c r="M29" s="107">
        <v>15</v>
      </c>
      <c r="N29" s="108">
        <f>155.22*M29</f>
        <v>2328.3000000000002</v>
      </c>
      <c r="O29" s="107">
        <v>15</v>
      </c>
      <c r="P29" s="108">
        <f>155.22*O29</f>
        <v>2328.3000000000002</v>
      </c>
      <c r="Q29" s="107">
        <v>15</v>
      </c>
      <c r="R29" s="108">
        <f>155.22*Q29</f>
        <v>2328.3000000000002</v>
      </c>
      <c r="S29" s="107">
        <v>15</v>
      </c>
      <c r="T29" s="108">
        <f>155.22*S29</f>
        <v>2328.3000000000002</v>
      </c>
      <c r="U29" s="107">
        <v>15</v>
      </c>
      <c r="V29" s="108">
        <f>155.22*U29</f>
        <v>2328.3000000000002</v>
      </c>
      <c r="W29" s="107">
        <v>15</v>
      </c>
      <c r="X29" s="108">
        <f>155.22*W29</f>
        <v>2328.3000000000002</v>
      </c>
      <c r="Y29" s="107">
        <v>15</v>
      </c>
      <c r="Z29" s="108">
        <f>155.22*Y29</f>
        <v>2328.3000000000002</v>
      </c>
      <c r="AA29" s="107">
        <v>15</v>
      </c>
      <c r="AB29" s="108">
        <f>155.22*AA29</f>
        <v>2328.3000000000002</v>
      </c>
      <c r="AC29" s="107">
        <v>15</v>
      </c>
      <c r="AD29" s="108">
        <f>155.22*AC29</f>
        <v>2328.3000000000002</v>
      </c>
      <c r="AE29" s="130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</row>
    <row r="30" spans="1:194" s="95" customFormat="1" ht="12.75" x14ac:dyDescent="0.2">
      <c r="A30" s="98"/>
      <c r="B30" s="99"/>
      <c r="C30" s="102" t="s">
        <v>267</v>
      </c>
      <c r="D30" s="103">
        <f t="shared" si="2"/>
        <v>72</v>
      </c>
      <c r="E30" s="104" t="s">
        <v>243</v>
      </c>
      <c r="F30" s="106">
        <f>944.3*D30</f>
        <v>67989.599999999991</v>
      </c>
      <c r="G30" s="107">
        <v>6</v>
      </c>
      <c r="H30" s="108">
        <f>944.3*G30</f>
        <v>5665.7999999999993</v>
      </c>
      <c r="I30" s="107">
        <v>6</v>
      </c>
      <c r="J30" s="108">
        <f>944.3*I30</f>
        <v>5665.7999999999993</v>
      </c>
      <c r="K30" s="107">
        <v>6</v>
      </c>
      <c r="L30" s="108">
        <f>944.3*K30</f>
        <v>5665.7999999999993</v>
      </c>
      <c r="M30" s="107">
        <v>6</v>
      </c>
      <c r="N30" s="108">
        <f>944.3*M30</f>
        <v>5665.7999999999993</v>
      </c>
      <c r="O30" s="107">
        <v>6</v>
      </c>
      <c r="P30" s="108">
        <f>944.3*O30</f>
        <v>5665.7999999999993</v>
      </c>
      <c r="Q30" s="107">
        <v>6</v>
      </c>
      <c r="R30" s="108">
        <f>944.3*Q30</f>
        <v>5665.7999999999993</v>
      </c>
      <c r="S30" s="107">
        <v>6</v>
      </c>
      <c r="T30" s="108">
        <f>944.3*S30</f>
        <v>5665.7999999999993</v>
      </c>
      <c r="U30" s="107">
        <v>6</v>
      </c>
      <c r="V30" s="108">
        <f>944.3*U30</f>
        <v>5665.7999999999993</v>
      </c>
      <c r="W30" s="107">
        <v>6</v>
      </c>
      <c r="X30" s="108">
        <f>944.3*W30</f>
        <v>5665.7999999999993</v>
      </c>
      <c r="Y30" s="107">
        <v>6</v>
      </c>
      <c r="Z30" s="108">
        <f>944.3*Y30</f>
        <v>5665.7999999999993</v>
      </c>
      <c r="AA30" s="107">
        <v>6</v>
      </c>
      <c r="AB30" s="108">
        <f>944.3*AA30</f>
        <v>5665.7999999999993</v>
      </c>
      <c r="AC30" s="107">
        <v>6</v>
      </c>
      <c r="AD30" s="108">
        <f>944.3*AC30</f>
        <v>5665.7999999999993</v>
      </c>
      <c r="AE30" s="130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</row>
    <row r="31" spans="1:194" s="95" customFormat="1" ht="12.75" x14ac:dyDescent="0.2">
      <c r="A31" s="98"/>
      <c r="B31" s="99"/>
      <c r="C31" s="102" t="s">
        <v>268</v>
      </c>
      <c r="D31" s="103">
        <f t="shared" si="2"/>
        <v>48</v>
      </c>
      <c r="E31" s="104" t="s">
        <v>243</v>
      </c>
      <c r="F31" s="106">
        <f>1143.1*D31</f>
        <v>54868.799999999996</v>
      </c>
      <c r="G31" s="107">
        <v>4</v>
      </c>
      <c r="H31" s="108">
        <f>1143.1*G31</f>
        <v>4572.3999999999996</v>
      </c>
      <c r="I31" s="107">
        <v>4</v>
      </c>
      <c r="J31" s="108">
        <f>1143.1*I31</f>
        <v>4572.3999999999996</v>
      </c>
      <c r="K31" s="107">
        <v>4</v>
      </c>
      <c r="L31" s="108">
        <f>1143.1*K31</f>
        <v>4572.3999999999996</v>
      </c>
      <c r="M31" s="107">
        <v>4</v>
      </c>
      <c r="N31" s="108">
        <f>1143.1*M31</f>
        <v>4572.3999999999996</v>
      </c>
      <c r="O31" s="107">
        <v>4</v>
      </c>
      <c r="P31" s="108">
        <f>1143.1*O31</f>
        <v>4572.3999999999996</v>
      </c>
      <c r="Q31" s="107">
        <v>4</v>
      </c>
      <c r="R31" s="108">
        <f>1143.1*Q31</f>
        <v>4572.3999999999996</v>
      </c>
      <c r="S31" s="107">
        <v>4</v>
      </c>
      <c r="T31" s="108">
        <f>1143.1*S31</f>
        <v>4572.3999999999996</v>
      </c>
      <c r="U31" s="107">
        <v>4</v>
      </c>
      <c r="V31" s="108">
        <f>1143.1*U31</f>
        <v>4572.3999999999996</v>
      </c>
      <c r="W31" s="107">
        <v>4</v>
      </c>
      <c r="X31" s="108">
        <f>1143.1*W31</f>
        <v>4572.3999999999996</v>
      </c>
      <c r="Y31" s="107">
        <v>4</v>
      </c>
      <c r="Z31" s="108">
        <f>1143.1*Y31</f>
        <v>4572.3999999999996</v>
      </c>
      <c r="AA31" s="107">
        <v>4</v>
      </c>
      <c r="AB31" s="108">
        <f>1143.1*AA31</f>
        <v>4572.3999999999996</v>
      </c>
      <c r="AC31" s="107">
        <v>4</v>
      </c>
      <c r="AD31" s="108">
        <f>1143.1*AC31</f>
        <v>4572.3999999999996</v>
      </c>
      <c r="AE31" s="130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</row>
    <row r="32" spans="1:194" s="95" customFormat="1" ht="14.25" customHeight="1" x14ac:dyDescent="0.2">
      <c r="A32" s="98"/>
      <c r="B32" s="99"/>
      <c r="C32" s="102" t="s">
        <v>244</v>
      </c>
      <c r="D32" s="103">
        <f t="shared" si="2"/>
        <v>180</v>
      </c>
      <c r="E32" s="104" t="s">
        <v>35</v>
      </c>
      <c r="F32" s="106">
        <f>29.31*D32</f>
        <v>5275.8</v>
      </c>
      <c r="G32" s="107">
        <v>15</v>
      </c>
      <c r="H32" s="108">
        <f>29.31*G32</f>
        <v>439.65</v>
      </c>
      <c r="I32" s="107">
        <v>15</v>
      </c>
      <c r="J32" s="108">
        <f>29.31*I32</f>
        <v>439.65</v>
      </c>
      <c r="K32" s="107">
        <v>15</v>
      </c>
      <c r="L32" s="108">
        <f>29.31*K32</f>
        <v>439.65</v>
      </c>
      <c r="M32" s="107">
        <v>15</v>
      </c>
      <c r="N32" s="108">
        <f>29.31*M32</f>
        <v>439.65</v>
      </c>
      <c r="O32" s="107">
        <v>15</v>
      </c>
      <c r="P32" s="108">
        <f>29.31*O32</f>
        <v>439.65</v>
      </c>
      <c r="Q32" s="107">
        <v>15</v>
      </c>
      <c r="R32" s="108">
        <f>29.31*Q32</f>
        <v>439.65</v>
      </c>
      <c r="S32" s="107">
        <v>15</v>
      </c>
      <c r="T32" s="108">
        <f>29.31*S32</f>
        <v>439.65</v>
      </c>
      <c r="U32" s="107">
        <v>15</v>
      </c>
      <c r="V32" s="108">
        <f>29.31*U32</f>
        <v>439.65</v>
      </c>
      <c r="W32" s="107">
        <v>15</v>
      </c>
      <c r="X32" s="108">
        <f>29.31*W32</f>
        <v>439.65</v>
      </c>
      <c r="Y32" s="107">
        <v>15</v>
      </c>
      <c r="Z32" s="108">
        <f>29.31*Y32</f>
        <v>439.65</v>
      </c>
      <c r="AA32" s="107">
        <v>15</v>
      </c>
      <c r="AB32" s="108">
        <f>29.31*AA32</f>
        <v>439.65</v>
      </c>
      <c r="AC32" s="107">
        <v>15</v>
      </c>
      <c r="AD32" s="108">
        <f>29.31*AC32</f>
        <v>439.65</v>
      </c>
      <c r="AE32" s="130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</row>
    <row r="33" spans="1:194" s="95" customFormat="1" ht="14.25" customHeight="1" x14ac:dyDescent="0.2">
      <c r="A33" s="98"/>
      <c r="B33" s="99"/>
      <c r="C33" s="102" t="s">
        <v>245</v>
      </c>
      <c r="D33" s="103">
        <f t="shared" si="2"/>
        <v>240</v>
      </c>
      <c r="E33" s="104" t="s">
        <v>35</v>
      </c>
      <c r="F33" s="106">
        <f>38.59*D33</f>
        <v>9261.6</v>
      </c>
      <c r="G33" s="107">
        <v>20</v>
      </c>
      <c r="H33" s="108">
        <f>38.59*G33</f>
        <v>771.80000000000007</v>
      </c>
      <c r="I33" s="107">
        <v>20</v>
      </c>
      <c r="J33" s="108">
        <f>38.59*I33</f>
        <v>771.80000000000007</v>
      </c>
      <c r="K33" s="107">
        <v>20</v>
      </c>
      <c r="L33" s="108">
        <f>38.59*K33</f>
        <v>771.80000000000007</v>
      </c>
      <c r="M33" s="107">
        <v>20</v>
      </c>
      <c r="N33" s="108">
        <f>38.59*M33</f>
        <v>771.80000000000007</v>
      </c>
      <c r="O33" s="107">
        <v>20</v>
      </c>
      <c r="P33" s="108">
        <f>38.59*O33</f>
        <v>771.80000000000007</v>
      </c>
      <c r="Q33" s="107">
        <v>20</v>
      </c>
      <c r="R33" s="108">
        <f>38.59*Q33</f>
        <v>771.80000000000007</v>
      </c>
      <c r="S33" s="107">
        <v>20</v>
      </c>
      <c r="T33" s="108">
        <f>38.59*S33</f>
        <v>771.80000000000007</v>
      </c>
      <c r="U33" s="107">
        <v>20</v>
      </c>
      <c r="V33" s="108">
        <f>38.59*U33</f>
        <v>771.80000000000007</v>
      </c>
      <c r="W33" s="107">
        <v>20</v>
      </c>
      <c r="X33" s="108">
        <f>38.59*W33</f>
        <v>771.80000000000007</v>
      </c>
      <c r="Y33" s="107">
        <v>20</v>
      </c>
      <c r="Z33" s="108">
        <f>38.59*Y33</f>
        <v>771.80000000000007</v>
      </c>
      <c r="AA33" s="107">
        <v>20</v>
      </c>
      <c r="AB33" s="108">
        <f>38.59*AA33</f>
        <v>771.80000000000007</v>
      </c>
      <c r="AC33" s="107">
        <v>20</v>
      </c>
      <c r="AD33" s="108">
        <f>38.59*AC33</f>
        <v>771.80000000000007</v>
      </c>
      <c r="AE33" s="130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</row>
    <row r="34" spans="1:194" s="95" customFormat="1" ht="14.25" customHeight="1" x14ac:dyDescent="0.2">
      <c r="A34" s="98"/>
      <c r="B34" s="99"/>
      <c r="C34" s="102" t="s">
        <v>269</v>
      </c>
      <c r="D34" s="103">
        <f t="shared" si="2"/>
        <v>160</v>
      </c>
      <c r="E34" s="104" t="s">
        <v>35</v>
      </c>
      <c r="F34" s="106">
        <f>33.74*D34</f>
        <v>5398.4000000000005</v>
      </c>
      <c r="G34" s="107">
        <v>40</v>
      </c>
      <c r="H34" s="108">
        <f>33.74*G34</f>
        <v>1349.6000000000001</v>
      </c>
      <c r="I34" s="107">
        <v>20</v>
      </c>
      <c r="J34" s="108">
        <f>33.74*I34</f>
        <v>674.80000000000007</v>
      </c>
      <c r="K34" s="107">
        <v>10</v>
      </c>
      <c r="L34" s="108">
        <f>33.74*K34</f>
        <v>337.40000000000003</v>
      </c>
      <c r="M34" s="107">
        <v>10</v>
      </c>
      <c r="N34" s="108">
        <f>33.74*M34</f>
        <v>337.40000000000003</v>
      </c>
      <c r="O34" s="107">
        <v>10</v>
      </c>
      <c r="P34" s="108">
        <f>33.74*O34</f>
        <v>337.40000000000003</v>
      </c>
      <c r="Q34" s="107">
        <v>10</v>
      </c>
      <c r="R34" s="108">
        <f>33.74*Q34</f>
        <v>337.40000000000003</v>
      </c>
      <c r="S34" s="107">
        <v>10</v>
      </c>
      <c r="T34" s="108">
        <f t="shared" ref="T34" si="3">33.74*S34</f>
        <v>337.40000000000003</v>
      </c>
      <c r="U34" s="107">
        <v>10</v>
      </c>
      <c r="V34" s="108">
        <f t="shared" ref="V34" si="4">33.74*U34</f>
        <v>337.40000000000003</v>
      </c>
      <c r="W34" s="107">
        <v>10</v>
      </c>
      <c r="X34" s="108">
        <f t="shared" ref="X34" si="5">33.74*W34</f>
        <v>337.40000000000003</v>
      </c>
      <c r="Y34" s="107">
        <v>10</v>
      </c>
      <c r="Z34" s="108">
        <f t="shared" ref="Z34" si="6">33.74*Y34</f>
        <v>337.40000000000003</v>
      </c>
      <c r="AA34" s="107">
        <v>10</v>
      </c>
      <c r="AB34" s="108">
        <f t="shared" ref="AB34" si="7">33.74*AA34</f>
        <v>337.40000000000003</v>
      </c>
      <c r="AC34" s="107">
        <v>10</v>
      </c>
      <c r="AD34" s="108">
        <f t="shared" ref="AD34" si="8">33.74*AC34</f>
        <v>337.40000000000003</v>
      </c>
      <c r="AE34" s="130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</row>
    <row r="35" spans="1:194" s="95" customFormat="1" ht="14.25" customHeight="1" x14ac:dyDescent="0.2">
      <c r="A35" s="98"/>
      <c r="B35" s="99"/>
      <c r="C35" s="102" t="s">
        <v>270</v>
      </c>
      <c r="D35" s="103">
        <f t="shared" si="2"/>
        <v>125</v>
      </c>
      <c r="E35" s="104" t="s">
        <v>35</v>
      </c>
      <c r="F35" s="106">
        <f>34.12*D35</f>
        <v>4265</v>
      </c>
      <c r="G35" s="107">
        <v>15</v>
      </c>
      <c r="H35" s="108">
        <f>34.12*G35</f>
        <v>511.79999999999995</v>
      </c>
      <c r="I35" s="107">
        <v>10</v>
      </c>
      <c r="J35" s="108">
        <f>34.12*I35</f>
        <v>341.2</v>
      </c>
      <c r="K35" s="107">
        <v>10</v>
      </c>
      <c r="L35" s="108">
        <f>34.12*K35</f>
        <v>341.2</v>
      </c>
      <c r="M35" s="107">
        <v>10</v>
      </c>
      <c r="N35" s="108">
        <f>34.12*M35</f>
        <v>341.2</v>
      </c>
      <c r="O35" s="107">
        <v>10</v>
      </c>
      <c r="P35" s="108">
        <f>34.12*O35</f>
        <v>341.2</v>
      </c>
      <c r="Q35" s="107">
        <v>10</v>
      </c>
      <c r="R35" s="108">
        <f>34.12*Q35</f>
        <v>341.2</v>
      </c>
      <c r="S35" s="107">
        <v>10</v>
      </c>
      <c r="T35" s="108">
        <f t="shared" ref="T35" si="9">34.12*S35</f>
        <v>341.2</v>
      </c>
      <c r="U35" s="107">
        <v>10</v>
      </c>
      <c r="V35" s="108">
        <f t="shared" ref="V35" si="10">34.12*U35</f>
        <v>341.2</v>
      </c>
      <c r="W35" s="107">
        <v>10</v>
      </c>
      <c r="X35" s="108">
        <f t="shared" ref="X35" si="11">34.12*W35</f>
        <v>341.2</v>
      </c>
      <c r="Y35" s="107">
        <v>10</v>
      </c>
      <c r="Z35" s="108">
        <f t="shared" ref="Z35" si="12">34.12*Y35</f>
        <v>341.2</v>
      </c>
      <c r="AA35" s="107">
        <v>10</v>
      </c>
      <c r="AB35" s="108">
        <f t="shared" ref="AB35" si="13">34.12*AA35</f>
        <v>341.2</v>
      </c>
      <c r="AC35" s="107">
        <v>10</v>
      </c>
      <c r="AD35" s="108">
        <f t="shared" ref="AD35" si="14">34.12*AC35</f>
        <v>341.2</v>
      </c>
      <c r="AE35" s="130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</row>
    <row r="36" spans="1:194" s="95" customFormat="1" ht="13.5" customHeight="1" x14ac:dyDescent="0.2">
      <c r="A36" s="98"/>
      <c r="B36" s="99"/>
      <c r="C36" s="102" t="s">
        <v>246</v>
      </c>
      <c r="D36" s="103">
        <f t="shared" si="2"/>
        <v>8</v>
      </c>
      <c r="E36" s="104" t="s">
        <v>35</v>
      </c>
      <c r="F36" s="106">
        <f>197.96*D36</f>
        <v>1583.68</v>
      </c>
      <c r="G36" s="107">
        <v>2</v>
      </c>
      <c r="H36" s="108">
        <f>197.96*G36</f>
        <v>395.92</v>
      </c>
      <c r="I36" s="107">
        <v>0</v>
      </c>
      <c r="J36" s="108">
        <f>197.96*I36</f>
        <v>0</v>
      </c>
      <c r="K36" s="107">
        <v>0</v>
      </c>
      <c r="L36" s="108">
        <f>197.96*K36</f>
        <v>0</v>
      </c>
      <c r="M36" s="107">
        <v>2</v>
      </c>
      <c r="N36" s="108">
        <f>197.96*M36</f>
        <v>395.92</v>
      </c>
      <c r="O36" s="107">
        <v>0</v>
      </c>
      <c r="P36" s="108">
        <f>197.96*O36</f>
        <v>0</v>
      </c>
      <c r="Q36" s="107">
        <v>0</v>
      </c>
      <c r="R36" s="108">
        <f>197.96*Q36</f>
        <v>0</v>
      </c>
      <c r="S36" s="107">
        <v>2</v>
      </c>
      <c r="T36" s="108">
        <f>197.96*S36</f>
        <v>395.92</v>
      </c>
      <c r="U36" s="107">
        <v>0</v>
      </c>
      <c r="V36" s="108">
        <f>197.96*U36</f>
        <v>0</v>
      </c>
      <c r="W36" s="107">
        <v>0</v>
      </c>
      <c r="X36" s="108">
        <f>197.96*W36</f>
        <v>0</v>
      </c>
      <c r="Y36" s="107">
        <v>2</v>
      </c>
      <c r="Z36" s="108">
        <f>197.96*Y36</f>
        <v>395.92</v>
      </c>
      <c r="AA36" s="107">
        <v>0</v>
      </c>
      <c r="AB36" s="108">
        <f>197.96*AA36</f>
        <v>0</v>
      </c>
      <c r="AC36" s="107">
        <v>0</v>
      </c>
      <c r="AD36" s="108">
        <f>197.96*AC36</f>
        <v>0</v>
      </c>
      <c r="AE36" s="130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</row>
    <row r="37" spans="1:194" s="95" customFormat="1" ht="12.75" customHeight="1" x14ac:dyDescent="0.2">
      <c r="A37" s="98"/>
      <c r="B37" s="99"/>
      <c r="C37" s="102" t="s">
        <v>247</v>
      </c>
      <c r="D37" s="103">
        <f t="shared" si="2"/>
        <v>600</v>
      </c>
      <c r="E37" s="104" t="s">
        <v>35</v>
      </c>
      <c r="F37" s="106">
        <f>5.55*D37</f>
        <v>3330</v>
      </c>
      <c r="G37" s="107">
        <v>50</v>
      </c>
      <c r="H37" s="108">
        <f>5.55*G37</f>
        <v>277.5</v>
      </c>
      <c r="I37" s="107">
        <v>50</v>
      </c>
      <c r="J37" s="108">
        <f>5.55*I37</f>
        <v>277.5</v>
      </c>
      <c r="K37" s="107">
        <v>50</v>
      </c>
      <c r="L37" s="108">
        <f>5.55*K37</f>
        <v>277.5</v>
      </c>
      <c r="M37" s="107">
        <v>50</v>
      </c>
      <c r="N37" s="108">
        <f>5.55*M37</f>
        <v>277.5</v>
      </c>
      <c r="O37" s="107">
        <v>50</v>
      </c>
      <c r="P37" s="108">
        <f>5.55*O37</f>
        <v>277.5</v>
      </c>
      <c r="Q37" s="107">
        <v>50</v>
      </c>
      <c r="R37" s="108">
        <f>5.55*Q37</f>
        <v>277.5</v>
      </c>
      <c r="S37" s="107">
        <v>50</v>
      </c>
      <c r="T37" s="108">
        <f>5.55*S37</f>
        <v>277.5</v>
      </c>
      <c r="U37" s="107">
        <v>50</v>
      </c>
      <c r="V37" s="108">
        <f>5.55*U37</f>
        <v>277.5</v>
      </c>
      <c r="W37" s="107">
        <v>50</v>
      </c>
      <c r="X37" s="108">
        <f>5.55*W37</f>
        <v>277.5</v>
      </c>
      <c r="Y37" s="107">
        <v>50</v>
      </c>
      <c r="Z37" s="108">
        <f>5.55*Y37</f>
        <v>277.5</v>
      </c>
      <c r="AA37" s="107">
        <v>50</v>
      </c>
      <c r="AB37" s="108">
        <f>5.55*AA37</f>
        <v>277.5</v>
      </c>
      <c r="AC37" s="107">
        <v>50</v>
      </c>
      <c r="AD37" s="108">
        <f>5.55*AC37</f>
        <v>277.5</v>
      </c>
      <c r="AE37" s="130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</row>
    <row r="38" spans="1:194" s="95" customFormat="1" ht="12.75" customHeight="1" x14ac:dyDescent="0.2">
      <c r="A38" s="98"/>
      <c r="B38" s="99"/>
      <c r="C38" s="102" t="s">
        <v>248</v>
      </c>
      <c r="D38" s="103">
        <f t="shared" si="2"/>
        <v>48</v>
      </c>
      <c r="E38" s="104" t="s">
        <v>35</v>
      </c>
      <c r="F38" s="106">
        <f>37.06*D38</f>
        <v>1778.88</v>
      </c>
      <c r="G38" s="107">
        <v>4</v>
      </c>
      <c r="H38" s="108">
        <f>37.06*G38</f>
        <v>148.24</v>
      </c>
      <c r="I38" s="107">
        <v>4</v>
      </c>
      <c r="J38" s="108">
        <f>37.06*I38</f>
        <v>148.24</v>
      </c>
      <c r="K38" s="107">
        <v>4</v>
      </c>
      <c r="L38" s="108">
        <f>37.06*K38</f>
        <v>148.24</v>
      </c>
      <c r="M38" s="107">
        <v>4</v>
      </c>
      <c r="N38" s="108">
        <f>37.06*M38</f>
        <v>148.24</v>
      </c>
      <c r="O38" s="107">
        <v>4</v>
      </c>
      <c r="P38" s="108">
        <f>37.06*O38</f>
        <v>148.24</v>
      </c>
      <c r="Q38" s="107">
        <v>4</v>
      </c>
      <c r="R38" s="108">
        <f>37.06*Q38</f>
        <v>148.24</v>
      </c>
      <c r="S38" s="107">
        <v>4</v>
      </c>
      <c r="T38" s="108">
        <f>37.06*S38</f>
        <v>148.24</v>
      </c>
      <c r="U38" s="107">
        <v>4</v>
      </c>
      <c r="V38" s="108">
        <f>37.06*U38</f>
        <v>148.24</v>
      </c>
      <c r="W38" s="107">
        <v>4</v>
      </c>
      <c r="X38" s="108">
        <f>37.06*W38</f>
        <v>148.24</v>
      </c>
      <c r="Y38" s="107">
        <v>4</v>
      </c>
      <c r="Z38" s="108">
        <f>37.06*Y38</f>
        <v>148.24</v>
      </c>
      <c r="AA38" s="107">
        <v>4</v>
      </c>
      <c r="AB38" s="108">
        <f>37.06*AA38</f>
        <v>148.24</v>
      </c>
      <c r="AC38" s="107">
        <v>4</v>
      </c>
      <c r="AD38" s="108">
        <f>37.06*AC38</f>
        <v>148.24</v>
      </c>
      <c r="AE38" s="130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</row>
    <row r="39" spans="1:194" s="95" customFormat="1" ht="2.85" customHeight="1" x14ac:dyDescent="0.2">
      <c r="A39" s="98"/>
      <c r="B39" s="99"/>
      <c r="C39" s="102" t="s">
        <v>249</v>
      </c>
      <c r="D39" s="103">
        <f t="shared" si="2"/>
        <v>120</v>
      </c>
      <c r="E39" s="104" t="s">
        <v>34</v>
      </c>
      <c r="F39" s="106">
        <f>36.17*D39</f>
        <v>4340.4000000000005</v>
      </c>
      <c r="G39" s="107">
        <v>10</v>
      </c>
      <c r="H39" s="108">
        <f>36.17*G39</f>
        <v>361.70000000000005</v>
      </c>
      <c r="I39" s="107">
        <v>10</v>
      </c>
      <c r="J39" s="108">
        <f>36.17*I39</f>
        <v>361.70000000000005</v>
      </c>
      <c r="K39" s="107">
        <v>10</v>
      </c>
      <c r="L39" s="108">
        <f>36.17*K39</f>
        <v>361.70000000000005</v>
      </c>
      <c r="M39" s="107">
        <v>10</v>
      </c>
      <c r="N39" s="108">
        <f>36.17*M39</f>
        <v>361.70000000000005</v>
      </c>
      <c r="O39" s="107">
        <v>10</v>
      </c>
      <c r="P39" s="108">
        <f>36.17*O39</f>
        <v>361.70000000000005</v>
      </c>
      <c r="Q39" s="107">
        <v>10</v>
      </c>
      <c r="R39" s="108">
        <f>36.17*Q39</f>
        <v>361.70000000000005</v>
      </c>
      <c r="S39" s="107">
        <v>10</v>
      </c>
      <c r="T39" s="108">
        <f>36.17*S39</f>
        <v>361.70000000000005</v>
      </c>
      <c r="U39" s="107">
        <v>10</v>
      </c>
      <c r="V39" s="108">
        <f>36.17*U39</f>
        <v>361.70000000000005</v>
      </c>
      <c r="W39" s="107">
        <v>10</v>
      </c>
      <c r="X39" s="108">
        <f>36.17*W39</f>
        <v>361.70000000000005</v>
      </c>
      <c r="Y39" s="107">
        <v>10</v>
      </c>
      <c r="Z39" s="108">
        <f>36.17*Y39</f>
        <v>361.70000000000005</v>
      </c>
      <c r="AA39" s="107">
        <v>10</v>
      </c>
      <c r="AB39" s="108">
        <f>36.17*AA39</f>
        <v>361.70000000000005</v>
      </c>
      <c r="AC39" s="107">
        <v>10</v>
      </c>
      <c r="AD39" s="108">
        <f>36.17*AC39</f>
        <v>361.70000000000005</v>
      </c>
      <c r="AE39" s="131"/>
      <c r="AF39" s="130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</row>
    <row r="40" spans="1:194" s="95" customFormat="1" ht="12.75" customHeight="1" x14ac:dyDescent="0.2">
      <c r="A40" s="98"/>
      <c r="B40" s="99"/>
      <c r="C40" s="102" t="s">
        <v>250</v>
      </c>
      <c r="D40" s="103">
        <f t="shared" si="2"/>
        <v>960</v>
      </c>
      <c r="E40" s="104" t="s">
        <v>35</v>
      </c>
      <c r="F40" s="106">
        <f>3.52*D40</f>
        <v>3379.2</v>
      </c>
      <c r="G40" s="107">
        <v>80</v>
      </c>
      <c r="H40" s="108">
        <f>3.52*G40</f>
        <v>281.60000000000002</v>
      </c>
      <c r="I40" s="107">
        <v>80</v>
      </c>
      <c r="J40" s="108">
        <f>3.52*I40</f>
        <v>281.60000000000002</v>
      </c>
      <c r="K40" s="107">
        <v>80</v>
      </c>
      <c r="L40" s="108">
        <f>3.52*K40</f>
        <v>281.60000000000002</v>
      </c>
      <c r="M40" s="107">
        <v>80</v>
      </c>
      <c r="N40" s="108">
        <f>3.52*M40</f>
        <v>281.60000000000002</v>
      </c>
      <c r="O40" s="107">
        <v>80</v>
      </c>
      <c r="P40" s="108">
        <f>3.52*O40</f>
        <v>281.60000000000002</v>
      </c>
      <c r="Q40" s="107">
        <v>80</v>
      </c>
      <c r="R40" s="108">
        <f>3.52*Q40</f>
        <v>281.60000000000002</v>
      </c>
      <c r="S40" s="107">
        <v>80</v>
      </c>
      <c r="T40" s="108">
        <f>3.52*S40</f>
        <v>281.60000000000002</v>
      </c>
      <c r="U40" s="107">
        <v>80</v>
      </c>
      <c r="V40" s="108">
        <f>3.52*U40</f>
        <v>281.60000000000002</v>
      </c>
      <c r="W40" s="107">
        <v>80</v>
      </c>
      <c r="X40" s="108">
        <f>3.52*W40</f>
        <v>281.60000000000002</v>
      </c>
      <c r="Y40" s="107">
        <v>80</v>
      </c>
      <c r="Z40" s="108">
        <f>3.52*Y40</f>
        <v>281.60000000000002</v>
      </c>
      <c r="AA40" s="107">
        <v>80</v>
      </c>
      <c r="AB40" s="108">
        <f>3.52*AA40</f>
        <v>281.60000000000002</v>
      </c>
      <c r="AC40" s="107">
        <v>80</v>
      </c>
      <c r="AD40" s="108">
        <f>3.52*AC40</f>
        <v>281.60000000000002</v>
      </c>
      <c r="AE40" s="131"/>
      <c r="AF40" s="130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</row>
    <row r="41" spans="1:194" s="95" customFormat="1" ht="13.5" customHeight="1" x14ac:dyDescent="0.2">
      <c r="A41" s="98"/>
      <c r="B41" s="99"/>
      <c r="C41" s="102" t="s">
        <v>271</v>
      </c>
      <c r="D41" s="103">
        <f t="shared" si="2"/>
        <v>435</v>
      </c>
      <c r="E41" s="104" t="s">
        <v>35</v>
      </c>
      <c r="F41" s="106">
        <f>9.02*D41</f>
        <v>3923.7</v>
      </c>
      <c r="G41" s="107">
        <v>35</v>
      </c>
      <c r="H41" s="108">
        <f>8.05*G41</f>
        <v>281.75</v>
      </c>
      <c r="I41" s="107">
        <v>35</v>
      </c>
      <c r="J41" s="108">
        <f>8.05*I41</f>
        <v>281.75</v>
      </c>
      <c r="K41" s="107">
        <v>50</v>
      </c>
      <c r="L41" s="108">
        <f>8.05*K41</f>
        <v>402.50000000000006</v>
      </c>
      <c r="M41" s="107">
        <v>35</v>
      </c>
      <c r="N41" s="108">
        <f>8.05*M41</f>
        <v>281.75</v>
      </c>
      <c r="O41" s="107">
        <v>35</v>
      </c>
      <c r="P41" s="108">
        <f>8.05*O41</f>
        <v>281.75</v>
      </c>
      <c r="Q41" s="107">
        <v>35</v>
      </c>
      <c r="R41" s="108">
        <f>8.05*Q41</f>
        <v>281.75</v>
      </c>
      <c r="S41" s="107">
        <v>35</v>
      </c>
      <c r="T41" s="108">
        <f>8.05*S41</f>
        <v>281.75</v>
      </c>
      <c r="U41" s="107">
        <v>35</v>
      </c>
      <c r="V41" s="108">
        <f>8.05*U41</f>
        <v>281.75</v>
      </c>
      <c r="W41" s="107">
        <v>35</v>
      </c>
      <c r="X41" s="108">
        <f>8.05*W41</f>
        <v>281.75</v>
      </c>
      <c r="Y41" s="107">
        <v>35</v>
      </c>
      <c r="Z41" s="108">
        <f>8.05*Y41</f>
        <v>281.75</v>
      </c>
      <c r="AA41" s="107">
        <v>35</v>
      </c>
      <c r="AB41" s="108">
        <f>8.05*AA41</f>
        <v>281.75</v>
      </c>
      <c r="AC41" s="107">
        <v>35</v>
      </c>
      <c r="AD41" s="108">
        <f>8.05*AC41</f>
        <v>281.75</v>
      </c>
      <c r="AE41" s="131"/>
      <c r="AF41" s="130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</row>
    <row r="42" spans="1:194" s="95" customFormat="1" ht="13.5" customHeight="1" x14ac:dyDescent="0.2">
      <c r="A42" s="98"/>
      <c r="B42" s="99"/>
      <c r="C42" s="102" t="s">
        <v>251</v>
      </c>
      <c r="D42" s="103">
        <f t="shared" si="2"/>
        <v>72</v>
      </c>
      <c r="E42" s="104" t="s">
        <v>34</v>
      </c>
      <c r="F42" s="106">
        <f>143.14*D42</f>
        <v>10306.079999999998</v>
      </c>
      <c r="G42" s="107">
        <v>6</v>
      </c>
      <c r="H42" s="108">
        <f>143.14*G42</f>
        <v>858.83999999999992</v>
      </c>
      <c r="I42" s="107">
        <v>6</v>
      </c>
      <c r="J42" s="108">
        <f>143.14*I42</f>
        <v>858.83999999999992</v>
      </c>
      <c r="K42" s="107">
        <v>6</v>
      </c>
      <c r="L42" s="108">
        <f>143.14*K42</f>
        <v>858.83999999999992</v>
      </c>
      <c r="M42" s="107">
        <v>6</v>
      </c>
      <c r="N42" s="108">
        <f>143.14*M42</f>
        <v>858.83999999999992</v>
      </c>
      <c r="O42" s="107">
        <v>6</v>
      </c>
      <c r="P42" s="108">
        <f>143.14*O42</f>
        <v>858.83999999999992</v>
      </c>
      <c r="Q42" s="107">
        <v>6</v>
      </c>
      <c r="R42" s="108">
        <f>143.14*Q42</f>
        <v>858.83999999999992</v>
      </c>
      <c r="S42" s="107">
        <v>6</v>
      </c>
      <c r="T42" s="108">
        <f>143.14*S42</f>
        <v>858.83999999999992</v>
      </c>
      <c r="U42" s="107">
        <v>6</v>
      </c>
      <c r="V42" s="108">
        <f>143.14*U42</f>
        <v>858.83999999999992</v>
      </c>
      <c r="W42" s="107">
        <v>6</v>
      </c>
      <c r="X42" s="108">
        <f>143.14*W42</f>
        <v>858.83999999999992</v>
      </c>
      <c r="Y42" s="107">
        <v>6</v>
      </c>
      <c r="Z42" s="108">
        <f>143.14*Y42</f>
        <v>858.83999999999992</v>
      </c>
      <c r="AA42" s="107">
        <v>6</v>
      </c>
      <c r="AB42" s="108">
        <f>143.14*AA42</f>
        <v>858.83999999999992</v>
      </c>
      <c r="AC42" s="107">
        <v>6</v>
      </c>
      <c r="AD42" s="108">
        <f>143.14*AC42</f>
        <v>858.83999999999992</v>
      </c>
      <c r="AE42" s="131"/>
      <c r="AF42" s="130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</row>
    <row r="43" spans="1:194" s="95" customFormat="1" ht="13.5" customHeight="1" x14ac:dyDescent="0.2">
      <c r="A43" s="98"/>
      <c r="B43" s="99"/>
      <c r="C43" s="102" t="s">
        <v>252</v>
      </c>
      <c r="D43" s="103">
        <f t="shared" si="2"/>
        <v>9600</v>
      </c>
      <c r="E43" s="104" t="s">
        <v>35</v>
      </c>
      <c r="F43" s="106">
        <f>0.67*D43</f>
        <v>6432</v>
      </c>
      <c r="G43" s="107">
        <v>800</v>
      </c>
      <c r="H43" s="108">
        <f>0.67*G43</f>
        <v>536</v>
      </c>
      <c r="I43" s="107">
        <v>800</v>
      </c>
      <c r="J43" s="108">
        <f>0.67*I43</f>
        <v>536</v>
      </c>
      <c r="K43" s="107">
        <v>800</v>
      </c>
      <c r="L43" s="108">
        <f>0.67*K43</f>
        <v>536</v>
      </c>
      <c r="M43" s="107">
        <v>800</v>
      </c>
      <c r="N43" s="108">
        <f>0.67*M43</f>
        <v>536</v>
      </c>
      <c r="O43" s="107">
        <v>800</v>
      </c>
      <c r="P43" s="108">
        <f>0.67*O43</f>
        <v>536</v>
      </c>
      <c r="Q43" s="107">
        <v>800</v>
      </c>
      <c r="R43" s="108">
        <f>0.67*Q43</f>
        <v>536</v>
      </c>
      <c r="S43" s="107">
        <v>800</v>
      </c>
      <c r="T43" s="108">
        <f>0.67*S43</f>
        <v>536</v>
      </c>
      <c r="U43" s="107">
        <v>800</v>
      </c>
      <c r="V43" s="108">
        <f>0.67*U43</f>
        <v>536</v>
      </c>
      <c r="W43" s="107">
        <v>800</v>
      </c>
      <c r="X43" s="108">
        <f>0.67*W43</f>
        <v>536</v>
      </c>
      <c r="Y43" s="107">
        <v>800</v>
      </c>
      <c r="Z43" s="108">
        <f>0.67*Y43</f>
        <v>536</v>
      </c>
      <c r="AA43" s="107">
        <v>800</v>
      </c>
      <c r="AB43" s="108">
        <f>0.67*AA43</f>
        <v>536</v>
      </c>
      <c r="AC43" s="107">
        <v>800</v>
      </c>
      <c r="AD43" s="108">
        <f>0.67*AC43</f>
        <v>536</v>
      </c>
      <c r="AE43" s="131"/>
      <c r="AF43" s="130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</row>
    <row r="44" spans="1:194" s="95" customFormat="1" ht="12" customHeight="1" x14ac:dyDescent="0.2">
      <c r="A44" s="98"/>
      <c r="B44" s="99"/>
      <c r="C44" s="102" t="s">
        <v>253</v>
      </c>
      <c r="D44" s="103">
        <f t="shared" si="2"/>
        <v>24</v>
      </c>
      <c r="E44" s="104" t="s">
        <v>35</v>
      </c>
      <c r="F44" s="106">
        <f>74.64*D44</f>
        <v>1791.3600000000001</v>
      </c>
      <c r="G44" s="103">
        <v>2</v>
      </c>
      <c r="H44" s="108">
        <f>74.64*G44</f>
        <v>149.28</v>
      </c>
      <c r="I44" s="103">
        <v>2</v>
      </c>
      <c r="J44" s="108">
        <f>74.64*I44</f>
        <v>149.28</v>
      </c>
      <c r="K44" s="103">
        <v>2</v>
      </c>
      <c r="L44" s="108">
        <f>74.64*K44</f>
        <v>149.28</v>
      </c>
      <c r="M44" s="103">
        <v>2</v>
      </c>
      <c r="N44" s="108">
        <f>74.64*M44</f>
        <v>149.28</v>
      </c>
      <c r="O44" s="103">
        <v>2</v>
      </c>
      <c r="P44" s="108">
        <f>74.64*O44</f>
        <v>149.28</v>
      </c>
      <c r="Q44" s="103">
        <v>2</v>
      </c>
      <c r="R44" s="108">
        <f>74.64*Q44</f>
        <v>149.28</v>
      </c>
      <c r="S44" s="103">
        <v>2</v>
      </c>
      <c r="T44" s="108">
        <f>74.64*S44</f>
        <v>149.28</v>
      </c>
      <c r="U44" s="103">
        <v>2</v>
      </c>
      <c r="V44" s="108">
        <f>74.64*U44</f>
        <v>149.28</v>
      </c>
      <c r="W44" s="103">
        <v>2</v>
      </c>
      <c r="X44" s="108">
        <f>74.64*W44</f>
        <v>149.28</v>
      </c>
      <c r="Y44" s="103">
        <v>2</v>
      </c>
      <c r="Z44" s="108">
        <f>74.64*Y44</f>
        <v>149.28</v>
      </c>
      <c r="AA44" s="103">
        <v>2</v>
      </c>
      <c r="AB44" s="108">
        <f>74.64*AA44</f>
        <v>149.28</v>
      </c>
      <c r="AC44" s="103">
        <v>2</v>
      </c>
      <c r="AD44" s="108">
        <f>74.64*AC44</f>
        <v>149.28</v>
      </c>
      <c r="AE44" s="59"/>
      <c r="AF44" s="130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</row>
    <row r="45" spans="1:194" s="95" customFormat="1" ht="12" customHeight="1" x14ac:dyDescent="0.2">
      <c r="A45" s="98"/>
      <c r="B45" s="99"/>
      <c r="C45" s="102" t="s">
        <v>254</v>
      </c>
      <c r="D45" s="103">
        <f t="shared" si="2"/>
        <v>180</v>
      </c>
      <c r="E45" s="104" t="s">
        <v>35</v>
      </c>
      <c r="F45" s="106">
        <f>24.85*D45</f>
        <v>4473</v>
      </c>
      <c r="G45" s="103">
        <v>15</v>
      </c>
      <c r="H45" s="108">
        <f>24.85*G45</f>
        <v>372.75</v>
      </c>
      <c r="I45" s="103">
        <v>15</v>
      </c>
      <c r="J45" s="108">
        <f>24.85*I45</f>
        <v>372.75</v>
      </c>
      <c r="K45" s="103">
        <v>15</v>
      </c>
      <c r="L45" s="108">
        <f>24.85*K45</f>
        <v>372.75</v>
      </c>
      <c r="M45" s="103">
        <v>15</v>
      </c>
      <c r="N45" s="108">
        <f>24.85*M45</f>
        <v>372.75</v>
      </c>
      <c r="O45" s="103">
        <v>15</v>
      </c>
      <c r="P45" s="108">
        <f>24.85*O45</f>
        <v>372.75</v>
      </c>
      <c r="Q45" s="103">
        <v>15</v>
      </c>
      <c r="R45" s="108">
        <f>24.85*Q45</f>
        <v>372.75</v>
      </c>
      <c r="S45" s="103">
        <v>15</v>
      </c>
      <c r="T45" s="108">
        <f>24.85*S45</f>
        <v>372.75</v>
      </c>
      <c r="U45" s="103">
        <v>15</v>
      </c>
      <c r="V45" s="108">
        <f>24.85*U45</f>
        <v>372.75</v>
      </c>
      <c r="W45" s="103">
        <v>15</v>
      </c>
      <c r="X45" s="108">
        <f>24.85*W45</f>
        <v>372.75</v>
      </c>
      <c r="Y45" s="103">
        <v>15</v>
      </c>
      <c r="Z45" s="108">
        <f>24.85*Y45</f>
        <v>372.75</v>
      </c>
      <c r="AA45" s="103">
        <v>15</v>
      </c>
      <c r="AB45" s="108">
        <f>24.85*AA45</f>
        <v>372.75</v>
      </c>
      <c r="AC45" s="103">
        <v>15</v>
      </c>
      <c r="AD45" s="108">
        <f>24.85*AC45</f>
        <v>372.75</v>
      </c>
      <c r="AE45" s="59"/>
      <c r="AF45" s="130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</row>
    <row r="46" spans="1:194" s="95" customFormat="1" ht="12" customHeight="1" x14ac:dyDescent="0.2">
      <c r="A46" s="98"/>
      <c r="B46" s="99"/>
      <c r="C46" s="102" t="s">
        <v>255</v>
      </c>
      <c r="D46" s="103">
        <f t="shared" si="2"/>
        <v>60</v>
      </c>
      <c r="E46" s="104" t="s">
        <v>34</v>
      </c>
      <c r="F46" s="106">
        <f>65.18*D46</f>
        <v>3910.8</v>
      </c>
      <c r="G46" s="103">
        <v>5</v>
      </c>
      <c r="H46" s="108">
        <f>65.18*G46</f>
        <v>325.90000000000003</v>
      </c>
      <c r="I46" s="103">
        <v>5</v>
      </c>
      <c r="J46" s="108">
        <f>65.18*I46</f>
        <v>325.90000000000003</v>
      </c>
      <c r="K46" s="103">
        <v>5</v>
      </c>
      <c r="L46" s="108">
        <f>65.18*K46</f>
        <v>325.90000000000003</v>
      </c>
      <c r="M46" s="103">
        <v>5</v>
      </c>
      <c r="N46" s="108">
        <f>65.18*M46</f>
        <v>325.90000000000003</v>
      </c>
      <c r="O46" s="103">
        <v>5</v>
      </c>
      <c r="P46" s="108">
        <f>65.18*O46</f>
        <v>325.90000000000003</v>
      </c>
      <c r="Q46" s="103">
        <v>5</v>
      </c>
      <c r="R46" s="108">
        <f>65.18*Q46</f>
        <v>325.90000000000003</v>
      </c>
      <c r="S46" s="103">
        <v>5</v>
      </c>
      <c r="T46" s="108">
        <f>65.18*S46</f>
        <v>325.90000000000003</v>
      </c>
      <c r="U46" s="103">
        <v>5</v>
      </c>
      <c r="V46" s="108">
        <f>65.18*U46</f>
        <v>325.90000000000003</v>
      </c>
      <c r="W46" s="103">
        <v>5</v>
      </c>
      <c r="X46" s="108">
        <f>65.18*W46</f>
        <v>325.90000000000003</v>
      </c>
      <c r="Y46" s="103">
        <v>5</v>
      </c>
      <c r="Z46" s="108">
        <f>65.18*Y46</f>
        <v>325.90000000000003</v>
      </c>
      <c r="AA46" s="103">
        <v>5</v>
      </c>
      <c r="AB46" s="108">
        <f>65.18*AA46</f>
        <v>325.90000000000003</v>
      </c>
      <c r="AC46" s="103">
        <v>5</v>
      </c>
      <c r="AD46" s="108">
        <f>65.18*AC46</f>
        <v>325.90000000000003</v>
      </c>
      <c r="AE46" s="59"/>
      <c r="AF46" s="130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</row>
    <row r="47" spans="1:194" s="95" customFormat="1" ht="12" customHeight="1" x14ac:dyDescent="0.2">
      <c r="A47" s="98"/>
      <c r="B47" s="99"/>
      <c r="C47" s="102" t="s">
        <v>256</v>
      </c>
      <c r="D47" s="103">
        <f t="shared" si="2"/>
        <v>12</v>
      </c>
      <c r="E47" s="104" t="s">
        <v>34</v>
      </c>
      <c r="F47" s="105">
        <f>26.33*D47</f>
        <v>315.95999999999998</v>
      </c>
      <c r="G47" s="109">
        <v>1</v>
      </c>
      <c r="H47" s="110">
        <f>26.33*G47</f>
        <v>26.33</v>
      </c>
      <c r="I47" s="109">
        <v>1</v>
      </c>
      <c r="J47" s="110">
        <f>26.33*I47</f>
        <v>26.33</v>
      </c>
      <c r="K47" s="109">
        <v>1</v>
      </c>
      <c r="L47" s="110">
        <f>26.33*K47</f>
        <v>26.33</v>
      </c>
      <c r="M47" s="109">
        <v>1</v>
      </c>
      <c r="N47" s="110">
        <f>26.33*M47</f>
        <v>26.33</v>
      </c>
      <c r="O47" s="109">
        <v>1</v>
      </c>
      <c r="P47" s="110">
        <f>26.33*O47</f>
        <v>26.33</v>
      </c>
      <c r="Q47" s="109">
        <v>1</v>
      </c>
      <c r="R47" s="110">
        <f>26.33*Q47</f>
        <v>26.33</v>
      </c>
      <c r="S47" s="109">
        <v>1</v>
      </c>
      <c r="T47" s="110">
        <f>26.33*S47</f>
        <v>26.33</v>
      </c>
      <c r="U47" s="109">
        <v>1</v>
      </c>
      <c r="V47" s="110">
        <f>26.33*U47</f>
        <v>26.33</v>
      </c>
      <c r="W47" s="109">
        <v>1</v>
      </c>
      <c r="X47" s="110">
        <f>26.33*W47</f>
        <v>26.33</v>
      </c>
      <c r="Y47" s="109">
        <v>1</v>
      </c>
      <c r="Z47" s="110">
        <f>26.33*Y47</f>
        <v>26.33</v>
      </c>
      <c r="AA47" s="109">
        <v>1</v>
      </c>
      <c r="AB47" s="110">
        <f>26.33*AA47</f>
        <v>26.33</v>
      </c>
      <c r="AC47" s="109">
        <v>1</v>
      </c>
      <c r="AD47" s="110">
        <f>26.33*AC47</f>
        <v>26.33</v>
      </c>
      <c r="AE47" s="59"/>
      <c r="AF47" s="130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</row>
    <row r="48" spans="1:194" s="95" customFormat="1" ht="12" customHeight="1" x14ac:dyDescent="0.2">
      <c r="A48" s="98"/>
      <c r="B48" s="99"/>
      <c r="C48" s="102" t="s">
        <v>257</v>
      </c>
      <c r="D48" s="103">
        <f t="shared" si="2"/>
        <v>240</v>
      </c>
      <c r="E48" s="104" t="s">
        <v>35</v>
      </c>
      <c r="F48" s="105">
        <f>4.44*D48</f>
        <v>1065.6000000000001</v>
      </c>
      <c r="G48" s="109">
        <v>20</v>
      </c>
      <c r="H48" s="110">
        <f>4.44*G48</f>
        <v>88.800000000000011</v>
      </c>
      <c r="I48" s="109">
        <v>20</v>
      </c>
      <c r="J48" s="110">
        <f>4.44*I48</f>
        <v>88.800000000000011</v>
      </c>
      <c r="K48" s="109">
        <v>20</v>
      </c>
      <c r="L48" s="110">
        <f>4.44*K48</f>
        <v>88.800000000000011</v>
      </c>
      <c r="M48" s="109">
        <v>20</v>
      </c>
      <c r="N48" s="110">
        <f>4.44*M48</f>
        <v>88.800000000000011</v>
      </c>
      <c r="O48" s="109">
        <v>20</v>
      </c>
      <c r="P48" s="110">
        <f>4.44*O48</f>
        <v>88.800000000000011</v>
      </c>
      <c r="Q48" s="109">
        <v>20</v>
      </c>
      <c r="R48" s="110">
        <f>4.44*Q48</f>
        <v>88.800000000000011</v>
      </c>
      <c r="S48" s="109">
        <v>20</v>
      </c>
      <c r="T48" s="110">
        <f>4.44*S48</f>
        <v>88.800000000000011</v>
      </c>
      <c r="U48" s="109">
        <v>20</v>
      </c>
      <c r="V48" s="110">
        <f>4.44*U48</f>
        <v>88.800000000000011</v>
      </c>
      <c r="W48" s="109">
        <v>20</v>
      </c>
      <c r="X48" s="110">
        <f>4.44*W48</f>
        <v>88.800000000000011</v>
      </c>
      <c r="Y48" s="109">
        <v>20</v>
      </c>
      <c r="Z48" s="110">
        <f>4.44*Y48</f>
        <v>88.800000000000011</v>
      </c>
      <c r="AA48" s="109">
        <v>20</v>
      </c>
      <c r="AB48" s="110">
        <f>4.44*AA48</f>
        <v>88.800000000000011</v>
      </c>
      <c r="AC48" s="109">
        <v>20</v>
      </c>
      <c r="AD48" s="110">
        <f>4.44*AC48</f>
        <v>88.800000000000011</v>
      </c>
      <c r="AE48" s="59"/>
      <c r="AF48" s="130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</row>
    <row r="49" spans="1:194" s="95" customFormat="1" ht="12" customHeight="1" x14ac:dyDescent="0.2">
      <c r="A49" s="98"/>
      <c r="B49" s="99"/>
      <c r="C49" s="102" t="s">
        <v>258</v>
      </c>
      <c r="D49" s="103">
        <f t="shared" si="2"/>
        <v>240</v>
      </c>
      <c r="E49" s="104" t="s">
        <v>35</v>
      </c>
      <c r="F49" s="105">
        <f>3.86*D49</f>
        <v>926.4</v>
      </c>
      <c r="G49" s="109">
        <v>20</v>
      </c>
      <c r="H49" s="110">
        <f>3.86*G49</f>
        <v>77.2</v>
      </c>
      <c r="I49" s="109">
        <v>20</v>
      </c>
      <c r="J49" s="110">
        <f>3.86*I49</f>
        <v>77.2</v>
      </c>
      <c r="K49" s="109">
        <v>20</v>
      </c>
      <c r="L49" s="110">
        <f>3.86*K49</f>
        <v>77.2</v>
      </c>
      <c r="M49" s="109">
        <v>20</v>
      </c>
      <c r="N49" s="110">
        <f>3.86*M49</f>
        <v>77.2</v>
      </c>
      <c r="O49" s="109">
        <v>20</v>
      </c>
      <c r="P49" s="110">
        <f>3.86*O49</f>
        <v>77.2</v>
      </c>
      <c r="Q49" s="109">
        <v>20</v>
      </c>
      <c r="R49" s="110">
        <f>3.86*Q49</f>
        <v>77.2</v>
      </c>
      <c r="S49" s="109">
        <v>20</v>
      </c>
      <c r="T49" s="110">
        <f>3.86*S49</f>
        <v>77.2</v>
      </c>
      <c r="U49" s="109">
        <v>20</v>
      </c>
      <c r="V49" s="110">
        <f>3.86*U49</f>
        <v>77.2</v>
      </c>
      <c r="W49" s="109">
        <v>20</v>
      </c>
      <c r="X49" s="110">
        <f>3.86*W49</f>
        <v>77.2</v>
      </c>
      <c r="Y49" s="109">
        <v>20</v>
      </c>
      <c r="Z49" s="110">
        <f>3.86*Y49</f>
        <v>77.2</v>
      </c>
      <c r="AA49" s="109">
        <v>20</v>
      </c>
      <c r="AB49" s="110">
        <f>3.86*AA49</f>
        <v>77.2</v>
      </c>
      <c r="AC49" s="109">
        <v>20</v>
      </c>
      <c r="AD49" s="110">
        <f>3.86*AC49</f>
        <v>77.2</v>
      </c>
      <c r="AE49" s="59"/>
      <c r="AF49" s="130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</row>
    <row r="50" spans="1:194" s="95" customFormat="1" ht="12" customHeight="1" x14ac:dyDescent="0.2">
      <c r="A50" s="98"/>
      <c r="B50" s="99"/>
      <c r="C50" s="102" t="s">
        <v>259</v>
      </c>
      <c r="D50" s="103">
        <f t="shared" si="2"/>
        <v>120</v>
      </c>
      <c r="E50" s="104" t="s">
        <v>35</v>
      </c>
      <c r="F50" s="105">
        <f>21.46*D50</f>
        <v>2575.2000000000003</v>
      </c>
      <c r="G50" s="109">
        <v>10</v>
      </c>
      <c r="H50" s="110">
        <f>21.46*G50</f>
        <v>214.60000000000002</v>
      </c>
      <c r="I50" s="109">
        <v>10</v>
      </c>
      <c r="J50" s="110">
        <f>21.46*I50</f>
        <v>214.60000000000002</v>
      </c>
      <c r="K50" s="109">
        <v>10</v>
      </c>
      <c r="L50" s="110">
        <f>21.46*K50</f>
        <v>214.60000000000002</v>
      </c>
      <c r="M50" s="109">
        <v>10</v>
      </c>
      <c r="N50" s="110">
        <f>21.46*M50</f>
        <v>214.60000000000002</v>
      </c>
      <c r="O50" s="109">
        <v>10</v>
      </c>
      <c r="P50" s="110">
        <f>21.46*O50</f>
        <v>214.60000000000002</v>
      </c>
      <c r="Q50" s="109">
        <v>10</v>
      </c>
      <c r="R50" s="110">
        <f>21.46*Q50</f>
        <v>214.60000000000002</v>
      </c>
      <c r="S50" s="109">
        <v>10</v>
      </c>
      <c r="T50" s="110">
        <f>21.46*S50</f>
        <v>214.60000000000002</v>
      </c>
      <c r="U50" s="109">
        <v>10</v>
      </c>
      <c r="V50" s="110">
        <f>21.46*U50</f>
        <v>214.60000000000002</v>
      </c>
      <c r="W50" s="109">
        <v>10</v>
      </c>
      <c r="X50" s="110">
        <f>21.46*W50</f>
        <v>214.60000000000002</v>
      </c>
      <c r="Y50" s="109">
        <v>10</v>
      </c>
      <c r="Z50" s="110">
        <f>21.46*Y50</f>
        <v>214.60000000000002</v>
      </c>
      <c r="AA50" s="109">
        <v>10</v>
      </c>
      <c r="AB50" s="110">
        <f>21.46*AA50</f>
        <v>214.60000000000002</v>
      </c>
      <c r="AC50" s="109">
        <v>10</v>
      </c>
      <c r="AD50" s="110">
        <f>21.46*AC50</f>
        <v>214.60000000000002</v>
      </c>
      <c r="AE50" s="59"/>
      <c r="AF50" s="130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</row>
    <row r="51" spans="1:194" s="95" customFormat="1" ht="12" customHeight="1" x14ac:dyDescent="0.2">
      <c r="A51" s="98"/>
      <c r="B51" s="99"/>
      <c r="C51" s="102" t="s">
        <v>260</v>
      </c>
      <c r="D51" s="103">
        <f t="shared" si="2"/>
        <v>96</v>
      </c>
      <c r="E51" s="104" t="s">
        <v>35</v>
      </c>
      <c r="F51" s="105">
        <f>10.24*D51</f>
        <v>983.04</v>
      </c>
      <c r="G51" s="109">
        <v>8</v>
      </c>
      <c r="H51" s="110">
        <f>10.24*G51</f>
        <v>81.92</v>
      </c>
      <c r="I51" s="109">
        <v>8</v>
      </c>
      <c r="J51" s="110">
        <f>10.24*I51</f>
        <v>81.92</v>
      </c>
      <c r="K51" s="109">
        <v>8</v>
      </c>
      <c r="L51" s="110">
        <f>10.24*K51</f>
        <v>81.92</v>
      </c>
      <c r="M51" s="109">
        <v>8</v>
      </c>
      <c r="N51" s="110">
        <f>10.24*M51</f>
        <v>81.92</v>
      </c>
      <c r="O51" s="109">
        <v>8</v>
      </c>
      <c r="P51" s="110">
        <f>10.24*O51</f>
        <v>81.92</v>
      </c>
      <c r="Q51" s="109">
        <v>8</v>
      </c>
      <c r="R51" s="110">
        <f>10.24*Q51</f>
        <v>81.92</v>
      </c>
      <c r="S51" s="109">
        <v>8</v>
      </c>
      <c r="T51" s="110">
        <f>10.24*S51</f>
        <v>81.92</v>
      </c>
      <c r="U51" s="109">
        <v>8</v>
      </c>
      <c r="V51" s="110">
        <f>10.24*U51</f>
        <v>81.92</v>
      </c>
      <c r="W51" s="109">
        <v>8</v>
      </c>
      <c r="X51" s="110">
        <f>10.24*W51</f>
        <v>81.92</v>
      </c>
      <c r="Y51" s="109">
        <v>8</v>
      </c>
      <c r="Z51" s="110">
        <f>10.24*Y51</f>
        <v>81.92</v>
      </c>
      <c r="AA51" s="109">
        <v>8</v>
      </c>
      <c r="AB51" s="110">
        <f>10.24*AA51</f>
        <v>81.92</v>
      </c>
      <c r="AC51" s="109">
        <v>8</v>
      </c>
      <c r="AD51" s="110">
        <f>10.24*AC51</f>
        <v>81.92</v>
      </c>
      <c r="AE51" s="59"/>
      <c r="AF51" s="130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</row>
    <row r="52" spans="1:194" s="95" customFormat="1" ht="12" customHeight="1" x14ac:dyDescent="0.2">
      <c r="A52" s="98"/>
      <c r="B52" s="99"/>
      <c r="C52" s="102" t="s">
        <v>261</v>
      </c>
      <c r="D52" s="103">
        <f t="shared" ref="D52:D64" si="15">G52+I52+K52+M52+O52+Q52+S52+U52+W52+Y52+AA52+AC52</f>
        <v>3000</v>
      </c>
      <c r="E52" s="104" t="s">
        <v>241</v>
      </c>
      <c r="F52" s="105">
        <f>2.11*D52</f>
        <v>6330</v>
      </c>
      <c r="G52" s="109">
        <v>0</v>
      </c>
      <c r="H52" s="110">
        <f>2.11*G52</f>
        <v>0</v>
      </c>
      <c r="I52" s="109">
        <v>0</v>
      </c>
      <c r="J52" s="110">
        <f>2.11*I52</f>
        <v>0</v>
      </c>
      <c r="K52" s="109">
        <v>0</v>
      </c>
      <c r="L52" s="110">
        <f>2.11*K52</f>
        <v>0</v>
      </c>
      <c r="M52" s="109">
        <v>0</v>
      </c>
      <c r="N52" s="110">
        <f>2.11*M52</f>
        <v>0</v>
      </c>
      <c r="O52" s="109">
        <v>1500</v>
      </c>
      <c r="P52" s="110">
        <f>2.11*O52</f>
        <v>3165</v>
      </c>
      <c r="Q52" s="109">
        <v>0</v>
      </c>
      <c r="R52" s="110">
        <f>2.11*Q52</f>
        <v>0</v>
      </c>
      <c r="S52" s="109">
        <v>0</v>
      </c>
      <c r="T52" s="110">
        <f>2.11*S52</f>
        <v>0</v>
      </c>
      <c r="U52" s="109">
        <v>0</v>
      </c>
      <c r="V52" s="110">
        <f>2.11*U52</f>
        <v>0</v>
      </c>
      <c r="W52" s="109">
        <v>0</v>
      </c>
      <c r="X52" s="110">
        <f>2.11*W52</f>
        <v>0</v>
      </c>
      <c r="Y52" s="109">
        <v>0</v>
      </c>
      <c r="Z52" s="110">
        <f>2.11*Y52</f>
        <v>0</v>
      </c>
      <c r="AA52" s="109">
        <v>0</v>
      </c>
      <c r="AB52" s="110">
        <f>2.11*AA52</f>
        <v>0</v>
      </c>
      <c r="AC52" s="109">
        <v>1500</v>
      </c>
      <c r="AD52" s="110">
        <f>2.11*AC52</f>
        <v>3165</v>
      </c>
      <c r="AE52" s="59"/>
      <c r="AF52" s="130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</row>
    <row r="53" spans="1:194" s="95" customFormat="1" ht="12" customHeight="1" x14ac:dyDescent="0.2">
      <c r="A53" s="98"/>
      <c r="B53" s="99"/>
      <c r="C53" s="102" t="s">
        <v>275</v>
      </c>
      <c r="D53" s="103">
        <f t="shared" si="15"/>
        <v>240</v>
      </c>
      <c r="E53" s="104" t="s">
        <v>146</v>
      </c>
      <c r="F53" s="105">
        <f>10.66*D53</f>
        <v>2558.4</v>
      </c>
      <c r="G53" s="109">
        <v>20</v>
      </c>
      <c r="H53" s="110">
        <f>10.76*G53</f>
        <v>215.2</v>
      </c>
      <c r="I53" s="109">
        <v>20</v>
      </c>
      <c r="J53" s="110">
        <f>10.76*I53</f>
        <v>215.2</v>
      </c>
      <c r="K53" s="109">
        <v>20</v>
      </c>
      <c r="L53" s="110">
        <f>10.76*K53</f>
        <v>215.2</v>
      </c>
      <c r="M53" s="109">
        <v>20</v>
      </c>
      <c r="N53" s="110">
        <f>10.76*M53</f>
        <v>215.2</v>
      </c>
      <c r="O53" s="109">
        <v>20</v>
      </c>
      <c r="P53" s="110">
        <f>10.76*O53</f>
        <v>215.2</v>
      </c>
      <c r="Q53" s="109">
        <v>20</v>
      </c>
      <c r="R53" s="110">
        <f>10.76*Q53</f>
        <v>215.2</v>
      </c>
      <c r="S53" s="109">
        <v>20</v>
      </c>
      <c r="T53" s="110">
        <f>10.76*S53</f>
        <v>215.2</v>
      </c>
      <c r="U53" s="109">
        <v>20</v>
      </c>
      <c r="V53" s="110">
        <f>10.76*U53</f>
        <v>215.2</v>
      </c>
      <c r="W53" s="109">
        <v>20</v>
      </c>
      <c r="X53" s="110">
        <f>10.76*W53</f>
        <v>215.2</v>
      </c>
      <c r="Y53" s="109">
        <v>20</v>
      </c>
      <c r="Z53" s="110">
        <f>10.76*Y53</f>
        <v>215.2</v>
      </c>
      <c r="AA53" s="109">
        <v>20</v>
      </c>
      <c r="AB53" s="110">
        <f>10.76*AA53</f>
        <v>215.2</v>
      </c>
      <c r="AC53" s="109">
        <v>20</v>
      </c>
      <c r="AD53" s="110">
        <f>10.76*AC53</f>
        <v>215.2</v>
      </c>
      <c r="AE53" s="59"/>
      <c r="AF53" s="130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</row>
    <row r="54" spans="1:194" s="95" customFormat="1" ht="12" customHeight="1" x14ac:dyDescent="0.2">
      <c r="A54" s="98"/>
      <c r="B54" s="99"/>
      <c r="C54" s="102" t="s">
        <v>274</v>
      </c>
      <c r="D54" s="103">
        <f t="shared" si="15"/>
        <v>120</v>
      </c>
      <c r="E54" s="104" t="s">
        <v>146</v>
      </c>
      <c r="F54" s="105">
        <f>11.76*D54</f>
        <v>1411.2</v>
      </c>
      <c r="G54" s="109">
        <v>10</v>
      </c>
      <c r="H54" s="110">
        <f>11.76*G54</f>
        <v>117.6</v>
      </c>
      <c r="I54" s="109">
        <v>10</v>
      </c>
      <c r="J54" s="110">
        <f>11.76*I54</f>
        <v>117.6</v>
      </c>
      <c r="K54" s="109">
        <v>10</v>
      </c>
      <c r="L54" s="110">
        <f>11.76*K54</f>
        <v>117.6</v>
      </c>
      <c r="M54" s="109">
        <v>10</v>
      </c>
      <c r="N54" s="110">
        <f>11.76*M54</f>
        <v>117.6</v>
      </c>
      <c r="O54" s="109">
        <v>10</v>
      </c>
      <c r="P54" s="110">
        <f>11.76*O54</f>
        <v>117.6</v>
      </c>
      <c r="Q54" s="109">
        <v>10</v>
      </c>
      <c r="R54" s="110">
        <f>11.76*Q54</f>
        <v>117.6</v>
      </c>
      <c r="S54" s="109">
        <v>10</v>
      </c>
      <c r="T54" s="110">
        <f>11.76*S54</f>
        <v>117.6</v>
      </c>
      <c r="U54" s="109">
        <v>10</v>
      </c>
      <c r="V54" s="110">
        <f>11.76*U54</f>
        <v>117.6</v>
      </c>
      <c r="W54" s="109">
        <v>10</v>
      </c>
      <c r="X54" s="110">
        <f>11.76*W54</f>
        <v>117.6</v>
      </c>
      <c r="Y54" s="109">
        <v>10</v>
      </c>
      <c r="Z54" s="110">
        <f>11.76*Y54</f>
        <v>117.6</v>
      </c>
      <c r="AA54" s="109">
        <v>10</v>
      </c>
      <c r="AB54" s="110">
        <f>11.76*AA54</f>
        <v>117.6</v>
      </c>
      <c r="AC54" s="109">
        <v>10</v>
      </c>
      <c r="AD54" s="110">
        <f>11.76*AC54</f>
        <v>117.6</v>
      </c>
      <c r="AE54" s="59"/>
      <c r="AF54" s="130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</row>
    <row r="55" spans="1:194" s="95" customFormat="1" ht="12" customHeight="1" x14ac:dyDescent="0.2">
      <c r="A55" s="98"/>
      <c r="B55" s="99"/>
      <c r="C55" s="102" t="s">
        <v>273</v>
      </c>
      <c r="D55" s="103">
        <f t="shared" si="15"/>
        <v>180</v>
      </c>
      <c r="E55" s="104" t="s">
        <v>146</v>
      </c>
      <c r="F55" s="105">
        <f>11.76*D55</f>
        <v>2116.8000000000002</v>
      </c>
      <c r="G55" s="109">
        <v>15</v>
      </c>
      <c r="H55" s="110">
        <f>11.76*G55</f>
        <v>176.4</v>
      </c>
      <c r="I55" s="109">
        <v>15</v>
      </c>
      <c r="J55" s="110">
        <f>11.76*I55</f>
        <v>176.4</v>
      </c>
      <c r="K55" s="109">
        <v>15</v>
      </c>
      <c r="L55" s="110">
        <f>11.76*K55</f>
        <v>176.4</v>
      </c>
      <c r="M55" s="109">
        <v>15</v>
      </c>
      <c r="N55" s="110">
        <f>11.76*M55</f>
        <v>176.4</v>
      </c>
      <c r="O55" s="109">
        <v>15</v>
      </c>
      <c r="P55" s="110">
        <f>11.76*O55</f>
        <v>176.4</v>
      </c>
      <c r="Q55" s="109">
        <v>15</v>
      </c>
      <c r="R55" s="110">
        <f>11.76*Q55</f>
        <v>176.4</v>
      </c>
      <c r="S55" s="109">
        <v>15</v>
      </c>
      <c r="T55" s="110">
        <f>11.76*S55</f>
        <v>176.4</v>
      </c>
      <c r="U55" s="109">
        <v>15</v>
      </c>
      <c r="V55" s="110">
        <f>11.76*U55</f>
        <v>176.4</v>
      </c>
      <c r="W55" s="109">
        <v>15</v>
      </c>
      <c r="X55" s="110">
        <f>11.76*W55</f>
        <v>176.4</v>
      </c>
      <c r="Y55" s="109">
        <v>15</v>
      </c>
      <c r="Z55" s="110">
        <f>11.76*Y55</f>
        <v>176.4</v>
      </c>
      <c r="AA55" s="109">
        <v>15</v>
      </c>
      <c r="AB55" s="110">
        <f>11.76*AA55</f>
        <v>176.4</v>
      </c>
      <c r="AC55" s="109">
        <v>15</v>
      </c>
      <c r="AD55" s="110">
        <f>11.76*AC55</f>
        <v>176.4</v>
      </c>
      <c r="AE55" s="59"/>
      <c r="AF55" s="130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</row>
    <row r="56" spans="1:194" s="95" customFormat="1" ht="12" customHeight="1" x14ac:dyDescent="0.2">
      <c r="A56" s="98"/>
      <c r="B56" s="99"/>
      <c r="C56" s="102" t="s">
        <v>272</v>
      </c>
      <c r="D56" s="103">
        <f t="shared" si="15"/>
        <v>180</v>
      </c>
      <c r="E56" s="104" t="s">
        <v>146</v>
      </c>
      <c r="F56" s="105">
        <f>31.13*D56</f>
        <v>5603.4</v>
      </c>
      <c r="G56" s="109">
        <v>15</v>
      </c>
      <c r="H56" s="110">
        <f>31.13*G56</f>
        <v>466.95</v>
      </c>
      <c r="I56" s="109">
        <v>15</v>
      </c>
      <c r="J56" s="110">
        <f>31.13*I56</f>
        <v>466.95</v>
      </c>
      <c r="K56" s="109">
        <v>15</v>
      </c>
      <c r="L56" s="110">
        <f>31.13*K56</f>
        <v>466.95</v>
      </c>
      <c r="M56" s="109">
        <v>15</v>
      </c>
      <c r="N56" s="110">
        <f>31.13*M56</f>
        <v>466.95</v>
      </c>
      <c r="O56" s="109">
        <v>15</v>
      </c>
      <c r="P56" s="110">
        <f>31.13*O56</f>
        <v>466.95</v>
      </c>
      <c r="Q56" s="109">
        <v>15</v>
      </c>
      <c r="R56" s="110">
        <f>31.13*Q56</f>
        <v>466.95</v>
      </c>
      <c r="S56" s="109">
        <v>15</v>
      </c>
      <c r="T56" s="110">
        <f>31.13*S56</f>
        <v>466.95</v>
      </c>
      <c r="U56" s="109">
        <v>15</v>
      </c>
      <c r="V56" s="110">
        <f>31.13*U56</f>
        <v>466.95</v>
      </c>
      <c r="W56" s="109">
        <v>15</v>
      </c>
      <c r="X56" s="110">
        <f>31.13*W56</f>
        <v>466.95</v>
      </c>
      <c r="Y56" s="109">
        <v>15</v>
      </c>
      <c r="Z56" s="110">
        <f>31.13*Y56</f>
        <v>466.95</v>
      </c>
      <c r="AA56" s="109">
        <v>15</v>
      </c>
      <c r="AB56" s="110">
        <f>31.13*AA56</f>
        <v>466.95</v>
      </c>
      <c r="AC56" s="109">
        <v>15</v>
      </c>
      <c r="AD56" s="110">
        <f>31.13*AC56</f>
        <v>466.95</v>
      </c>
      <c r="AE56" s="59"/>
      <c r="AF56" s="130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</row>
    <row r="57" spans="1:194" s="95" customFormat="1" ht="12" customHeight="1" x14ac:dyDescent="0.2">
      <c r="A57" s="98"/>
      <c r="B57" s="99"/>
      <c r="C57" s="102" t="s">
        <v>276</v>
      </c>
      <c r="D57" s="103">
        <f t="shared" si="15"/>
        <v>60</v>
      </c>
      <c r="E57" s="104" t="s">
        <v>35</v>
      </c>
      <c r="F57" s="105">
        <f>8.95*D57</f>
        <v>537</v>
      </c>
      <c r="G57" s="109">
        <v>5</v>
      </c>
      <c r="H57" s="110">
        <f>8.95*G57</f>
        <v>44.75</v>
      </c>
      <c r="I57" s="109">
        <v>5</v>
      </c>
      <c r="J57" s="110">
        <f>8.95*I57</f>
        <v>44.75</v>
      </c>
      <c r="K57" s="109">
        <v>5</v>
      </c>
      <c r="L57" s="110">
        <f>8.95*K57</f>
        <v>44.75</v>
      </c>
      <c r="M57" s="109">
        <v>5</v>
      </c>
      <c r="N57" s="110">
        <f>8.95*M57</f>
        <v>44.75</v>
      </c>
      <c r="O57" s="109">
        <v>5</v>
      </c>
      <c r="P57" s="110">
        <f>8.95*O57</f>
        <v>44.75</v>
      </c>
      <c r="Q57" s="109">
        <v>5</v>
      </c>
      <c r="R57" s="110">
        <f>8.95*Q57</f>
        <v>44.75</v>
      </c>
      <c r="S57" s="109">
        <v>5</v>
      </c>
      <c r="T57" s="110">
        <f>8.95*S57</f>
        <v>44.75</v>
      </c>
      <c r="U57" s="109">
        <v>5</v>
      </c>
      <c r="V57" s="110">
        <f>8.95*U57</f>
        <v>44.75</v>
      </c>
      <c r="W57" s="109">
        <v>5</v>
      </c>
      <c r="X57" s="110">
        <f>8.95*W57</f>
        <v>44.75</v>
      </c>
      <c r="Y57" s="109">
        <v>5</v>
      </c>
      <c r="Z57" s="110">
        <f>8.95*Y57</f>
        <v>44.75</v>
      </c>
      <c r="AA57" s="109">
        <v>5</v>
      </c>
      <c r="AB57" s="110">
        <f>8.95*AA57</f>
        <v>44.75</v>
      </c>
      <c r="AC57" s="109">
        <v>5</v>
      </c>
      <c r="AD57" s="110">
        <f>8.95*AC57</f>
        <v>44.75</v>
      </c>
      <c r="AE57" s="59"/>
      <c r="AF57" s="130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</row>
    <row r="58" spans="1:194" s="95" customFormat="1" ht="12" customHeight="1" x14ac:dyDescent="0.2">
      <c r="A58" s="98"/>
      <c r="B58" s="99"/>
      <c r="C58" s="102" t="s">
        <v>277</v>
      </c>
      <c r="D58" s="103">
        <f t="shared" si="15"/>
        <v>84</v>
      </c>
      <c r="E58" s="104" t="s">
        <v>35</v>
      </c>
      <c r="F58" s="105">
        <f>37.57*D58</f>
        <v>3155.88</v>
      </c>
      <c r="G58" s="109">
        <v>7</v>
      </c>
      <c r="H58" s="110">
        <f>37.57*G58</f>
        <v>262.99</v>
      </c>
      <c r="I58" s="109">
        <v>7</v>
      </c>
      <c r="J58" s="110">
        <f>37.57*I58</f>
        <v>262.99</v>
      </c>
      <c r="K58" s="109">
        <v>7</v>
      </c>
      <c r="L58" s="110">
        <f>37.57*K58</f>
        <v>262.99</v>
      </c>
      <c r="M58" s="109">
        <v>7</v>
      </c>
      <c r="N58" s="110">
        <f>37.57*M58</f>
        <v>262.99</v>
      </c>
      <c r="O58" s="109">
        <v>7</v>
      </c>
      <c r="P58" s="110">
        <f>37.57*O58</f>
        <v>262.99</v>
      </c>
      <c r="Q58" s="109">
        <v>7</v>
      </c>
      <c r="R58" s="110">
        <f>37.57*Q58</f>
        <v>262.99</v>
      </c>
      <c r="S58" s="109">
        <v>7</v>
      </c>
      <c r="T58" s="110">
        <f>37.57*S58</f>
        <v>262.99</v>
      </c>
      <c r="U58" s="109">
        <v>7</v>
      </c>
      <c r="V58" s="110">
        <f>37.57*U58</f>
        <v>262.99</v>
      </c>
      <c r="W58" s="109">
        <v>7</v>
      </c>
      <c r="X58" s="110">
        <f>37.57*W58</f>
        <v>262.99</v>
      </c>
      <c r="Y58" s="109">
        <v>7</v>
      </c>
      <c r="Z58" s="110">
        <f>37.57*Y58</f>
        <v>262.99</v>
      </c>
      <c r="AA58" s="109">
        <v>7</v>
      </c>
      <c r="AB58" s="110">
        <f>37.57*AA58</f>
        <v>262.99</v>
      </c>
      <c r="AC58" s="109">
        <v>7</v>
      </c>
      <c r="AD58" s="110">
        <f>37.57*AC58</f>
        <v>262.99</v>
      </c>
      <c r="AE58" s="59"/>
      <c r="AF58" s="130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</row>
    <row r="59" spans="1:194" s="95" customFormat="1" ht="12" customHeight="1" x14ac:dyDescent="0.2">
      <c r="A59" s="98"/>
      <c r="B59" s="99"/>
      <c r="C59" s="102" t="s">
        <v>278</v>
      </c>
      <c r="D59" s="103">
        <f t="shared" si="15"/>
        <v>60</v>
      </c>
      <c r="E59" s="104" t="s">
        <v>35</v>
      </c>
      <c r="F59" s="105">
        <f>7.67*D59</f>
        <v>460.2</v>
      </c>
      <c r="G59" s="109">
        <v>5</v>
      </c>
      <c r="H59" s="110">
        <f>7.67*G59</f>
        <v>38.35</v>
      </c>
      <c r="I59" s="109">
        <v>5</v>
      </c>
      <c r="J59" s="110">
        <f>7.67*I59</f>
        <v>38.35</v>
      </c>
      <c r="K59" s="109">
        <v>5</v>
      </c>
      <c r="L59" s="110">
        <f>7.67*K59</f>
        <v>38.35</v>
      </c>
      <c r="M59" s="109">
        <v>5</v>
      </c>
      <c r="N59" s="110">
        <f>7.67*M59</f>
        <v>38.35</v>
      </c>
      <c r="O59" s="109">
        <v>5</v>
      </c>
      <c r="P59" s="110">
        <f>7.67*O59</f>
        <v>38.35</v>
      </c>
      <c r="Q59" s="109">
        <v>5</v>
      </c>
      <c r="R59" s="110">
        <f>7.67*Q59</f>
        <v>38.35</v>
      </c>
      <c r="S59" s="109">
        <v>5</v>
      </c>
      <c r="T59" s="110">
        <f>7.67*S59</f>
        <v>38.35</v>
      </c>
      <c r="U59" s="109">
        <v>5</v>
      </c>
      <c r="V59" s="110">
        <f>7.67*U59</f>
        <v>38.35</v>
      </c>
      <c r="W59" s="109">
        <v>5</v>
      </c>
      <c r="X59" s="110">
        <f>7.67*W59</f>
        <v>38.35</v>
      </c>
      <c r="Y59" s="109">
        <v>5</v>
      </c>
      <c r="Z59" s="110">
        <f>7.67*Y59</f>
        <v>38.35</v>
      </c>
      <c r="AA59" s="109">
        <v>5</v>
      </c>
      <c r="AB59" s="110">
        <f>7.67*AA59</f>
        <v>38.35</v>
      </c>
      <c r="AC59" s="109">
        <v>5</v>
      </c>
      <c r="AD59" s="110">
        <f>7.67*AC59</f>
        <v>38.35</v>
      </c>
      <c r="AE59" s="59"/>
      <c r="AF59" s="130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</row>
    <row r="60" spans="1:194" s="95" customFormat="1" ht="12" customHeight="1" x14ac:dyDescent="0.2">
      <c r="A60" s="98"/>
      <c r="B60" s="99"/>
      <c r="C60" s="102" t="s">
        <v>279</v>
      </c>
      <c r="D60" s="103">
        <f t="shared" si="15"/>
        <v>120</v>
      </c>
      <c r="E60" s="104"/>
      <c r="F60" s="105">
        <f>9.4*D60</f>
        <v>1128</v>
      </c>
      <c r="G60" s="109">
        <v>10</v>
      </c>
      <c r="H60" s="110">
        <f>9.4*G60</f>
        <v>94</v>
      </c>
      <c r="I60" s="109">
        <v>10</v>
      </c>
      <c r="J60" s="110">
        <f>9.4*I60</f>
        <v>94</v>
      </c>
      <c r="K60" s="109">
        <v>10</v>
      </c>
      <c r="L60" s="110">
        <f>9.4*K60</f>
        <v>94</v>
      </c>
      <c r="M60" s="109">
        <v>10</v>
      </c>
      <c r="N60" s="110">
        <f>9.4*M60</f>
        <v>94</v>
      </c>
      <c r="O60" s="109">
        <v>10</v>
      </c>
      <c r="P60" s="110">
        <f>9.4*O60</f>
        <v>94</v>
      </c>
      <c r="Q60" s="109">
        <v>10</v>
      </c>
      <c r="R60" s="110">
        <f>9.4*Q60</f>
        <v>94</v>
      </c>
      <c r="S60" s="109">
        <v>10</v>
      </c>
      <c r="T60" s="110">
        <f>9.4*S60</f>
        <v>94</v>
      </c>
      <c r="U60" s="109">
        <v>10</v>
      </c>
      <c r="V60" s="110">
        <f>9.4*U60</f>
        <v>94</v>
      </c>
      <c r="W60" s="109">
        <v>10</v>
      </c>
      <c r="X60" s="110">
        <f>9.4*W60</f>
        <v>94</v>
      </c>
      <c r="Y60" s="109">
        <v>10</v>
      </c>
      <c r="Z60" s="110">
        <f>9.4*Y60</f>
        <v>94</v>
      </c>
      <c r="AA60" s="109">
        <v>10</v>
      </c>
      <c r="AB60" s="110">
        <f>9.4*AA60</f>
        <v>94</v>
      </c>
      <c r="AC60" s="109">
        <v>10</v>
      </c>
      <c r="AD60" s="110">
        <f>9.4*AC60</f>
        <v>94</v>
      </c>
      <c r="AE60" s="59"/>
      <c r="AF60" s="130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</row>
    <row r="61" spans="1:194" s="95" customFormat="1" ht="12" customHeight="1" x14ac:dyDescent="0.2">
      <c r="A61" s="98"/>
      <c r="B61" s="99"/>
      <c r="C61" s="102" t="s">
        <v>280</v>
      </c>
      <c r="D61" s="103">
        <f t="shared" si="15"/>
        <v>36</v>
      </c>
      <c r="E61" s="104"/>
      <c r="F61" s="105">
        <f>161.03*D61</f>
        <v>5797.08</v>
      </c>
      <c r="G61" s="109">
        <v>3</v>
      </c>
      <c r="H61" s="110">
        <f>161.03*G61</f>
        <v>483.09000000000003</v>
      </c>
      <c r="I61" s="109">
        <v>3</v>
      </c>
      <c r="J61" s="110">
        <f>161.03*I61</f>
        <v>483.09000000000003</v>
      </c>
      <c r="K61" s="109">
        <v>3</v>
      </c>
      <c r="L61" s="110">
        <f>161.03*K61</f>
        <v>483.09000000000003</v>
      </c>
      <c r="M61" s="109">
        <v>3</v>
      </c>
      <c r="N61" s="110">
        <f>161.03*M61</f>
        <v>483.09000000000003</v>
      </c>
      <c r="O61" s="109">
        <v>3</v>
      </c>
      <c r="P61" s="110">
        <f>161.03*O61</f>
        <v>483.09000000000003</v>
      </c>
      <c r="Q61" s="109">
        <v>3</v>
      </c>
      <c r="R61" s="110">
        <f>161.03*Q61</f>
        <v>483.09000000000003</v>
      </c>
      <c r="S61" s="109">
        <v>3</v>
      </c>
      <c r="T61" s="110">
        <f>161.03*S61</f>
        <v>483.09000000000003</v>
      </c>
      <c r="U61" s="109">
        <v>3</v>
      </c>
      <c r="V61" s="110">
        <f>161.03*U61</f>
        <v>483.09000000000003</v>
      </c>
      <c r="W61" s="109">
        <v>3</v>
      </c>
      <c r="X61" s="110">
        <f>161.03*W61</f>
        <v>483.09000000000003</v>
      </c>
      <c r="Y61" s="109">
        <v>3</v>
      </c>
      <c r="Z61" s="110">
        <f>161.03*Y61</f>
        <v>483.09000000000003</v>
      </c>
      <c r="AA61" s="109">
        <v>3</v>
      </c>
      <c r="AB61" s="110">
        <f>161.03*AA61</f>
        <v>483.09000000000003</v>
      </c>
      <c r="AC61" s="109">
        <v>3</v>
      </c>
      <c r="AD61" s="110">
        <f>161.03*AC61</f>
        <v>483.09000000000003</v>
      </c>
      <c r="AE61" s="59"/>
      <c r="AF61" s="130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</row>
    <row r="62" spans="1:194" ht="12" customHeight="1" x14ac:dyDescent="0.2">
      <c r="B62" s="24">
        <v>212</v>
      </c>
      <c r="C62" s="20" t="s">
        <v>193</v>
      </c>
      <c r="D62" s="97">
        <f t="shared" si="15"/>
        <v>0</v>
      </c>
      <c r="E62" s="33" t="s">
        <v>35</v>
      </c>
      <c r="F62" s="38">
        <f>SUM(F63)</f>
        <v>0</v>
      </c>
      <c r="G62" s="39"/>
      <c r="H62" s="38">
        <f>SUM(H63)</f>
        <v>0</v>
      </c>
      <c r="I62" s="25"/>
      <c r="J62" s="38">
        <f>SUM(J63)</f>
        <v>0</v>
      </c>
      <c r="K62" s="40"/>
      <c r="L62" s="38">
        <f>SUM(L63)</f>
        <v>0</v>
      </c>
      <c r="M62" s="40"/>
      <c r="N62" s="38">
        <f>SUM(N63)</f>
        <v>0</v>
      </c>
      <c r="O62" s="39"/>
      <c r="P62" s="38">
        <f>SUM(P63)</f>
        <v>0</v>
      </c>
      <c r="Q62" s="39"/>
      <c r="R62" s="38">
        <f>SUM(R63)</f>
        <v>0</v>
      </c>
      <c r="S62" s="39"/>
      <c r="T62" s="38">
        <f>SUM(T63)</f>
        <v>0</v>
      </c>
      <c r="U62" s="39"/>
      <c r="V62" s="38">
        <f>SUM(V63)</f>
        <v>0</v>
      </c>
      <c r="W62" s="39"/>
      <c r="X62" s="38">
        <f>SUM(X63)</f>
        <v>0</v>
      </c>
      <c r="Y62" s="39"/>
      <c r="Z62" s="38">
        <f>SUM(Z63)</f>
        <v>0</v>
      </c>
      <c r="AA62" s="39"/>
      <c r="AB62" s="38">
        <f>SUM(AB63)</f>
        <v>0</v>
      </c>
      <c r="AC62" s="28"/>
      <c r="AD62" s="38">
        <f>SUM(AD63)</f>
        <v>0</v>
      </c>
      <c r="AE62" s="59"/>
      <c r="AF62" s="130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</row>
    <row r="63" spans="1:194" ht="12" customHeight="1" x14ac:dyDescent="0.2">
      <c r="B63" s="24"/>
      <c r="C63" s="83" t="s">
        <v>194</v>
      </c>
      <c r="D63" s="97"/>
      <c r="E63" s="33"/>
      <c r="F63" s="35"/>
      <c r="G63" s="42"/>
      <c r="H63" s="36"/>
      <c r="I63" s="42"/>
      <c r="J63" s="36"/>
      <c r="K63" s="42"/>
      <c r="L63" s="36"/>
      <c r="M63" s="42"/>
      <c r="N63" s="36"/>
      <c r="O63" s="42"/>
      <c r="P63" s="36"/>
      <c r="Q63" s="42"/>
      <c r="R63" s="36"/>
      <c r="S63" s="42"/>
      <c r="T63" s="36"/>
      <c r="U63" s="42"/>
      <c r="V63" s="36"/>
      <c r="W63" s="42"/>
      <c r="X63" s="36"/>
      <c r="Y63" s="42"/>
      <c r="Z63" s="36"/>
      <c r="AA63" s="42"/>
      <c r="AB63" s="36"/>
      <c r="AC63" s="28"/>
      <c r="AD63" s="31"/>
      <c r="AE63" s="59"/>
      <c r="AF63" s="130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</row>
    <row r="64" spans="1:194" ht="15" customHeight="1" x14ac:dyDescent="0.2">
      <c r="B64" s="24">
        <v>213</v>
      </c>
      <c r="C64" s="20" t="s">
        <v>38</v>
      </c>
      <c r="D64" s="97">
        <f t="shared" si="15"/>
        <v>0</v>
      </c>
      <c r="E64" s="33" t="s">
        <v>35</v>
      </c>
      <c r="F64" s="38">
        <f>SUM(F65)</f>
        <v>0</v>
      </c>
      <c r="G64" s="39"/>
      <c r="H64" s="38">
        <f>SUM(H65)</f>
        <v>0</v>
      </c>
      <c r="I64" s="25"/>
      <c r="J64" s="38">
        <f>SUM(J65)</f>
        <v>0</v>
      </c>
      <c r="K64" s="40"/>
      <c r="L64" s="38">
        <f>SUM(L65)</f>
        <v>0</v>
      </c>
      <c r="M64" s="40"/>
      <c r="N64" s="38">
        <f>SUM(N65)</f>
        <v>0</v>
      </c>
      <c r="O64" s="39"/>
      <c r="P64" s="38">
        <f>SUM(P65)</f>
        <v>0</v>
      </c>
      <c r="Q64" s="39"/>
      <c r="R64" s="38">
        <f>SUM(R65)</f>
        <v>0</v>
      </c>
      <c r="S64" s="39"/>
      <c r="T64" s="38">
        <f>SUM(T65)</f>
        <v>0</v>
      </c>
      <c r="U64" s="39"/>
      <c r="V64" s="38">
        <f>SUM(V65)</f>
        <v>0</v>
      </c>
      <c r="W64" s="39"/>
      <c r="X64" s="38">
        <f>SUM(X65)</f>
        <v>0</v>
      </c>
      <c r="Y64" s="39"/>
      <c r="Z64" s="38">
        <f>SUM(Z65)</f>
        <v>0</v>
      </c>
      <c r="AA64" s="39"/>
      <c r="AB64" s="38">
        <f>SUM(AB65)</f>
        <v>0</v>
      </c>
      <c r="AC64" s="39"/>
      <c r="AD64" s="38">
        <f>SUM(AD65)</f>
        <v>0</v>
      </c>
      <c r="AE64" s="130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</row>
    <row r="65" spans="1:194" ht="12.75" customHeight="1" x14ac:dyDescent="0.2">
      <c r="B65" s="24"/>
      <c r="C65" s="83" t="s">
        <v>39</v>
      </c>
      <c r="D65" s="97"/>
      <c r="E65" s="33"/>
      <c r="F65" s="35"/>
      <c r="G65" s="42"/>
      <c r="H65" s="36"/>
      <c r="I65" s="42"/>
      <c r="J65" s="36"/>
      <c r="K65" s="42"/>
      <c r="L65" s="36"/>
      <c r="M65" s="42"/>
      <c r="N65" s="36"/>
      <c r="O65" s="42"/>
      <c r="P65" s="36"/>
      <c r="Q65" s="42"/>
      <c r="R65" s="36"/>
      <c r="S65" s="42"/>
      <c r="T65" s="36"/>
      <c r="U65" s="42"/>
      <c r="V65" s="36"/>
      <c r="W65" s="42"/>
      <c r="X65" s="36"/>
      <c r="Y65" s="42"/>
      <c r="Z65" s="36"/>
      <c r="AA65" s="42"/>
      <c r="AB65" s="36"/>
      <c r="AC65" s="42"/>
      <c r="AD65" s="36"/>
      <c r="AE65" s="130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</row>
    <row r="66" spans="1:194" ht="35.25" customHeight="1" x14ac:dyDescent="0.2">
      <c r="B66" s="24">
        <v>214</v>
      </c>
      <c r="C66" s="20" t="s">
        <v>40</v>
      </c>
      <c r="D66" s="34"/>
      <c r="E66" s="93"/>
      <c r="F66" s="38">
        <f>SUM(F67:F74)</f>
        <v>145346.64000000001</v>
      </c>
      <c r="G66" s="39"/>
      <c r="H66" s="38">
        <f>SUM(H67:H74)</f>
        <v>12112.220000000001</v>
      </c>
      <c r="I66" s="40"/>
      <c r="J66" s="38">
        <f>SUM(J67:J74)</f>
        <v>12112.220000000001</v>
      </c>
      <c r="K66" s="40"/>
      <c r="L66" s="38">
        <f>SUM(L67:L74)</f>
        <v>12112.220000000001</v>
      </c>
      <c r="M66" s="40"/>
      <c r="N66" s="38">
        <f>SUM(N67:N74)</f>
        <v>12112.220000000001</v>
      </c>
      <c r="O66" s="40"/>
      <c r="P66" s="38">
        <f>SUM(P67:P74)</f>
        <v>12112.220000000001</v>
      </c>
      <c r="Q66" s="40"/>
      <c r="R66" s="38">
        <f>SUM(R67:R74)</f>
        <v>12112.220000000001</v>
      </c>
      <c r="S66" s="40"/>
      <c r="T66" s="38">
        <f>SUM(T67:T74)</f>
        <v>12112.220000000001</v>
      </c>
      <c r="U66" s="40"/>
      <c r="V66" s="38">
        <f>SUM(V67:V74)</f>
        <v>12112.220000000001</v>
      </c>
      <c r="W66" s="40"/>
      <c r="X66" s="38">
        <f>SUM(X67:X74)</f>
        <v>12112.220000000001</v>
      </c>
      <c r="Y66" s="40"/>
      <c r="Z66" s="38">
        <f>SUM(Z67:Z74)</f>
        <v>12112.220000000001</v>
      </c>
      <c r="AA66" s="40"/>
      <c r="AB66" s="38">
        <f>SUM(AB67:AB74)</f>
        <v>12112.220000000001</v>
      </c>
      <c r="AC66" s="40"/>
      <c r="AD66" s="38">
        <f>SUM(AD67:AD74)</f>
        <v>12112.220000000001</v>
      </c>
      <c r="AE66" s="130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</row>
    <row r="67" spans="1:194" s="95" customFormat="1" ht="12.75" customHeight="1" x14ac:dyDescent="0.2">
      <c r="A67" s="98"/>
      <c r="B67" s="99"/>
      <c r="C67" s="102" t="s">
        <v>262</v>
      </c>
      <c r="D67" s="103">
        <f t="shared" ref="D67:D74" si="16">G67+I67+K67+M67+O67+Q67+S67+U67+W67+Y67+AA67+AC67</f>
        <v>24</v>
      </c>
      <c r="E67" s="104" t="s">
        <v>35</v>
      </c>
      <c r="F67" s="105">
        <f>1491.38*D67</f>
        <v>35793.120000000003</v>
      </c>
      <c r="G67" s="111">
        <v>2</v>
      </c>
      <c r="H67" s="110">
        <f>1491.38*G67</f>
        <v>2982.76</v>
      </c>
      <c r="I67" s="111">
        <v>2</v>
      </c>
      <c r="J67" s="110">
        <f>1491.38*I67</f>
        <v>2982.76</v>
      </c>
      <c r="K67" s="111">
        <v>2</v>
      </c>
      <c r="L67" s="110">
        <f>1491.38*K67</f>
        <v>2982.76</v>
      </c>
      <c r="M67" s="111">
        <v>2</v>
      </c>
      <c r="N67" s="110">
        <f>1491.38*M67</f>
        <v>2982.76</v>
      </c>
      <c r="O67" s="111">
        <v>2</v>
      </c>
      <c r="P67" s="110">
        <f>1491.38*O67</f>
        <v>2982.76</v>
      </c>
      <c r="Q67" s="111">
        <v>2</v>
      </c>
      <c r="R67" s="110">
        <f>1491.38*Q67</f>
        <v>2982.76</v>
      </c>
      <c r="S67" s="111">
        <v>2</v>
      </c>
      <c r="T67" s="110">
        <f>1491.38*S67</f>
        <v>2982.76</v>
      </c>
      <c r="U67" s="111">
        <v>2</v>
      </c>
      <c r="V67" s="110">
        <f>1491.38*U67</f>
        <v>2982.76</v>
      </c>
      <c r="W67" s="111">
        <v>2</v>
      </c>
      <c r="X67" s="110">
        <f>1491.38*W67</f>
        <v>2982.76</v>
      </c>
      <c r="Y67" s="111">
        <v>2</v>
      </c>
      <c r="Z67" s="110">
        <f>1491.38*Y67</f>
        <v>2982.76</v>
      </c>
      <c r="AA67" s="111">
        <v>2</v>
      </c>
      <c r="AB67" s="110">
        <f>1491.38*AA67</f>
        <v>2982.76</v>
      </c>
      <c r="AC67" s="111">
        <v>2</v>
      </c>
      <c r="AD67" s="110">
        <f>1491.38*AC67</f>
        <v>2982.76</v>
      </c>
      <c r="AE67" s="130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</row>
    <row r="68" spans="1:194" s="95" customFormat="1" ht="24" x14ac:dyDescent="0.2">
      <c r="A68" s="98"/>
      <c r="B68" s="55"/>
      <c r="C68" s="102" t="s">
        <v>196</v>
      </c>
      <c r="D68" s="103">
        <f t="shared" si="16"/>
        <v>12</v>
      </c>
      <c r="E68" s="104" t="s">
        <v>35</v>
      </c>
      <c r="F68" s="105">
        <f>1991.38*D68</f>
        <v>23896.560000000001</v>
      </c>
      <c r="G68" s="111">
        <v>1</v>
      </c>
      <c r="H68" s="110">
        <f>1991.38*G68</f>
        <v>1991.38</v>
      </c>
      <c r="I68" s="111">
        <v>1</v>
      </c>
      <c r="J68" s="110">
        <f>1991.38*I68</f>
        <v>1991.38</v>
      </c>
      <c r="K68" s="111">
        <v>1</v>
      </c>
      <c r="L68" s="110">
        <f>1991.38*G68</f>
        <v>1991.38</v>
      </c>
      <c r="M68" s="111">
        <v>1</v>
      </c>
      <c r="N68" s="110">
        <f>1991.38*I68</f>
        <v>1991.38</v>
      </c>
      <c r="O68" s="111">
        <v>1</v>
      </c>
      <c r="P68" s="110">
        <f>1991.38*K68</f>
        <v>1991.38</v>
      </c>
      <c r="Q68" s="111">
        <v>1</v>
      </c>
      <c r="R68" s="110">
        <f>1991.38*M68</f>
        <v>1991.38</v>
      </c>
      <c r="S68" s="111">
        <v>1</v>
      </c>
      <c r="T68" s="110">
        <f>1991.38*O68</f>
        <v>1991.38</v>
      </c>
      <c r="U68" s="111">
        <v>1</v>
      </c>
      <c r="V68" s="110">
        <f>1991.38*Q68</f>
        <v>1991.38</v>
      </c>
      <c r="W68" s="111">
        <v>1</v>
      </c>
      <c r="X68" s="110">
        <f>1991.38*S68</f>
        <v>1991.38</v>
      </c>
      <c r="Y68" s="111">
        <v>1</v>
      </c>
      <c r="Z68" s="110">
        <f>1991.38*U68</f>
        <v>1991.38</v>
      </c>
      <c r="AA68" s="111">
        <v>1</v>
      </c>
      <c r="AB68" s="110">
        <f>1991.38*W68</f>
        <v>1991.38</v>
      </c>
      <c r="AC68" s="111">
        <v>1</v>
      </c>
      <c r="AD68" s="110">
        <f>1991.38*Y68</f>
        <v>1991.38</v>
      </c>
      <c r="AE68" s="130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</row>
    <row r="69" spans="1:194" s="95" customFormat="1" ht="12.75" x14ac:dyDescent="0.2">
      <c r="A69" s="98"/>
      <c r="B69" s="55"/>
      <c r="C69" s="102" t="s">
        <v>197</v>
      </c>
      <c r="D69" s="103">
        <f t="shared" si="16"/>
        <v>72</v>
      </c>
      <c r="E69" s="104" t="s">
        <v>35</v>
      </c>
      <c r="F69" s="105">
        <f>198.28*D69</f>
        <v>14276.16</v>
      </c>
      <c r="G69" s="111">
        <v>6</v>
      </c>
      <c r="H69" s="110">
        <f>198.28*G69</f>
        <v>1189.68</v>
      </c>
      <c r="I69" s="111">
        <v>6</v>
      </c>
      <c r="J69" s="110">
        <f>198.28*I69</f>
        <v>1189.68</v>
      </c>
      <c r="K69" s="111">
        <v>6</v>
      </c>
      <c r="L69" s="110">
        <f>198.28*K69</f>
        <v>1189.68</v>
      </c>
      <c r="M69" s="111">
        <v>6</v>
      </c>
      <c r="N69" s="110">
        <f>198.28*M69</f>
        <v>1189.68</v>
      </c>
      <c r="O69" s="111">
        <v>6</v>
      </c>
      <c r="P69" s="110">
        <f>198.28*O69</f>
        <v>1189.68</v>
      </c>
      <c r="Q69" s="111">
        <v>6</v>
      </c>
      <c r="R69" s="110">
        <f>198.28*Q69</f>
        <v>1189.68</v>
      </c>
      <c r="S69" s="111">
        <v>6</v>
      </c>
      <c r="T69" s="110">
        <f>198.28*S69</f>
        <v>1189.68</v>
      </c>
      <c r="U69" s="111">
        <v>6</v>
      </c>
      <c r="V69" s="110">
        <f>198.28*U69</f>
        <v>1189.68</v>
      </c>
      <c r="W69" s="111">
        <v>6</v>
      </c>
      <c r="X69" s="110">
        <f>198.28*W69</f>
        <v>1189.68</v>
      </c>
      <c r="Y69" s="111">
        <v>6</v>
      </c>
      <c r="Z69" s="110">
        <f>198.28*Y69</f>
        <v>1189.68</v>
      </c>
      <c r="AA69" s="111">
        <v>6</v>
      </c>
      <c r="AB69" s="110">
        <f>198.28*AA69</f>
        <v>1189.68</v>
      </c>
      <c r="AC69" s="111">
        <v>6</v>
      </c>
      <c r="AD69" s="110">
        <f>198.28*AC69</f>
        <v>1189.68</v>
      </c>
      <c r="AE69" s="130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</row>
    <row r="70" spans="1:194" s="95" customFormat="1" ht="12.75" x14ac:dyDescent="0.2">
      <c r="A70" s="98"/>
      <c r="B70" s="55"/>
      <c r="C70" s="102" t="s">
        <v>198</v>
      </c>
      <c r="D70" s="103">
        <f t="shared" si="16"/>
        <v>72</v>
      </c>
      <c r="E70" s="104" t="s">
        <v>35</v>
      </c>
      <c r="F70" s="105">
        <f t="shared" ref="F70:F74" si="17">198.28*D70</f>
        <v>14276.16</v>
      </c>
      <c r="G70" s="111">
        <v>6</v>
      </c>
      <c r="H70" s="110">
        <f t="shared" ref="H70:J74" si="18">198.28*G70</f>
        <v>1189.68</v>
      </c>
      <c r="I70" s="111">
        <v>6</v>
      </c>
      <c r="J70" s="110">
        <f t="shared" si="18"/>
        <v>1189.68</v>
      </c>
      <c r="K70" s="111">
        <v>6</v>
      </c>
      <c r="L70" s="110">
        <f t="shared" ref="L70:N70" si="19">198.28*K70</f>
        <v>1189.68</v>
      </c>
      <c r="M70" s="111">
        <v>6</v>
      </c>
      <c r="N70" s="110">
        <f t="shared" si="19"/>
        <v>1189.68</v>
      </c>
      <c r="O70" s="111">
        <v>6</v>
      </c>
      <c r="P70" s="110">
        <f t="shared" ref="P70" si="20">198.28*O70</f>
        <v>1189.68</v>
      </c>
      <c r="Q70" s="111">
        <v>6</v>
      </c>
      <c r="R70" s="110">
        <f t="shared" ref="R70" si="21">198.28*Q70</f>
        <v>1189.68</v>
      </c>
      <c r="S70" s="111">
        <v>6</v>
      </c>
      <c r="T70" s="110">
        <f t="shared" ref="T70" si="22">198.28*S70</f>
        <v>1189.68</v>
      </c>
      <c r="U70" s="111">
        <v>6</v>
      </c>
      <c r="V70" s="110">
        <f t="shared" ref="V70" si="23">198.28*U70</f>
        <v>1189.68</v>
      </c>
      <c r="W70" s="111">
        <v>6</v>
      </c>
      <c r="X70" s="110">
        <f t="shared" ref="X70" si="24">198.28*W70</f>
        <v>1189.68</v>
      </c>
      <c r="Y70" s="111">
        <v>6</v>
      </c>
      <c r="Z70" s="110">
        <f t="shared" ref="Z70" si="25">198.28*Y70</f>
        <v>1189.68</v>
      </c>
      <c r="AA70" s="111">
        <v>6</v>
      </c>
      <c r="AB70" s="110">
        <f t="shared" ref="AB70" si="26">198.28*AA70</f>
        <v>1189.68</v>
      </c>
      <c r="AC70" s="111">
        <v>6</v>
      </c>
      <c r="AD70" s="110">
        <f t="shared" ref="AD70:AD74" si="27">198.28*AC70</f>
        <v>1189.68</v>
      </c>
      <c r="AE70" s="130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</row>
    <row r="71" spans="1:194" s="95" customFormat="1" ht="12.75" x14ac:dyDescent="0.2">
      <c r="A71" s="98"/>
      <c r="B71" s="55"/>
      <c r="C71" s="102" t="s">
        <v>199</v>
      </c>
      <c r="D71" s="103">
        <f t="shared" si="16"/>
        <v>72</v>
      </c>
      <c r="E71" s="104" t="s">
        <v>35</v>
      </c>
      <c r="F71" s="105">
        <f t="shared" si="17"/>
        <v>14276.16</v>
      </c>
      <c r="G71" s="111">
        <v>6</v>
      </c>
      <c r="H71" s="110">
        <f t="shared" si="18"/>
        <v>1189.68</v>
      </c>
      <c r="I71" s="111">
        <v>6</v>
      </c>
      <c r="J71" s="110">
        <f t="shared" si="18"/>
        <v>1189.68</v>
      </c>
      <c r="K71" s="111">
        <v>6</v>
      </c>
      <c r="L71" s="110">
        <f t="shared" ref="L71:N71" si="28">198.28*K71</f>
        <v>1189.68</v>
      </c>
      <c r="M71" s="111">
        <v>6</v>
      </c>
      <c r="N71" s="110">
        <f t="shared" si="28"/>
        <v>1189.68</v>
      </c>
      <c r="O71" s="111">
        <v>6</v>
      </c>
      <c r="P71" s="110">
        <f t="shared" ref="P71" si="29">198.28*O71</f>
        <v>1189.68</v>
      </c>
      <c r="Q71" s="111">
        <v>6</v>
      </c>
      <c r="R71" s="110">
        <f t="shared" ref="R71" si="30">198.28*Q71</f>
        <v>1189.68</v>
      </c>
      <c r="S71" s="111">
        <v>6</v>
      </c>
      <c r="T71" s="110">
        <f t="shared" ref="T71" si="31">198.28*S71</f>
        <v>1189.68</v>
      </c>
      <c r="U71" s="111">
        <v>6</v>
      </c>
      <c r="V71" s="110">
        <f t="shared" ref="V71" si="32">198.28*U71</f>
        <v>1189.68</v>
      </c>
      <c r="W71" s="111">
        <v>6</v>
      </c>
      <c r="X71" s="110">
        <f t="shared" ref="X71" si="33">198.28*W71</f>
        <v>1189.68</v>
      </c>
      <c r="Y71" s="111">
        <v>6</v>
      </c>
      <c r="Z71" s="110">
        <f t="shared" ref="Z71" si="34">198.28*Y71</f>
        <v>1189.68</v>
      </c>
      <c r="AA71" s="111">
        <v>6</v>
      </c>
      <c r="AB71" s="110">
        <f t="shared" ref="AB71" si="35">198.28*AA71</f>
        <v>1189.68</v>
      </c>
      <c r="AC71" s="111">
        <v>6</v>
      </c>
      <c r="AD71" s="110">
        <f t="shared" si="27"/>
        <v>1189.68</v>
      </c>
      <c r="AE71" s="130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</row>
    <row r="72" spans="1:194" s="95" customFormat="1" ht="12.75" x14ac:dyDescent="0.2">
      <c r="A72" s="98"/>
      <c r="B72" s="55"/>
      <c r="C72" s="102" t="s">
        <v>200</v>
      </c>
      <c r="D72" s="103">
        <f t="shared" si="16"/>
        <v>72</v>
      </c>
      <c r="E72" s="104" t="s">
        <v>35</v>
      </c>
      <c r="F72" s="105">
        <f t="shared" si="17"/>
        <v>14276.16</v>
      </c>
      <c r="G72" s="111">
        <v>6</v>
      </c>
      <c r="H72" s="110">
        <f t="shared" si="18"/>
        <v>1189.68</v>
      </c>
      <c r="I72" s="111">
        <v>6</v>
      </c>
      <c r="J72" s="110">
        <f t="shared" si="18"/>
        <v>1189.68</v>
      </c>
      <c r="K72" s="111">
        <v>6</v>
      </c>
      <c r="L72" s="110">
        <f t="shared" ref="L72:N72" si="36">198.28*K72</f>
        <v>1189.68</v>
      </c>
      <c r="M72" s="111">
        <v>6</v>
      </c>
      <c r="N72" s="110">
        <f t="shared" si="36"/>
        <v>1189.68</v>
      </c>
      <c r="O72" s="111">
        <v>6</v>
      </c>
      <c r="P72" s="110">
        <f t="shared" ref="P72" si="37">198.28*O72</f>
        <v>1189.68</v>
      </c>
      <c r="Q72" s="111">
        <v>6</v>
      </c>
      <c r="R72" s="110">
        <f t="shared" ref="R72" si="38">198.28*Q72</f>
        <v>1189.68</v>
      </c>
      <c r="S72" s="111">
        <v>6</v>
      </c>
      <c r="T72" s="110">
        <f t="shared" ref="T72" si="39">198.28*S72</f>
        <v>1189.68</v>
      </c>
      <c r="U72" s="111">
        <v>6</v>
      </c>
      <c r="V72" s="110">
        <f t="shared" ref="V72" si="40">198.28*U72</f>
        <v>1189.68</v>
      </c>
      <c r="W72" s="111">
        <v>6</v>
      </c>
      <c r="X72" s="110">
        <f t="shared" ref="X72" si="41">198.28*W72</f>
        <v>1189.68</v>
      </c>
      <c r="Y72" s="111">
        <v>6</v>
      </c>
      <c r="Z72" s="110">
        <f t="shared" ref="Z72" si="42">198.28*Y72</f>
        <v>1189.68</v>
      </c>
      <c r="AA72" s="111">
        <v>6</v>
      </c>
      <c r="AB72" s="110">
        <f t="shared" ref="AB72" si="43">198.28*AA72</f>
        <v>1189.68</v>
      </c>
      <c r="AC72" s="111">
        <v>6</v>
      </c>
      <c r="AD72" s="110">
        <f t="shared" si="27"/>
        <v>1189.68</v>
      </c>
      <c r="AE72" s="130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</row>
    <row r="73" spans="1:194" s="95" customFormat="1" ht="12.75" x14ac:dyDescent="0.2">
      <c r="A73" s="98"/>
      <c r="B73" s="55"/>
      <c r="C73" s="102" t="s">
        <v>201</v>
      </c>
      <c r="D73" s="103">
        <f t="shared" si="16"/>
        <v>72</v>
      </c>
      <c r="E73" s="104" t="s">
        <v>35</v>
      </c>
      <c r="F73" s="105">
        <f t="shared" si="17"/>
        <v>14276.16</v>
      </c>
      <c r="G73" s="111">
        <v>6</v>
      </c>
      <c r="H73" s="110">
        <f t="shared" si="18"/>
        <v>1189.68</v>
      </c>
      <c r="I73" s="111">
        <v>6</v>
      </c>
      <c r="J73" s="110">
        <f t="shared" si="18"/>
        <v>1189.68</v>
      </c>
      <c r="K73" s="111">
        <v>6</v>
      </c>
      <c r="L73" s="110">
        <f t="shared" ref="L73:N73" si="44">198.28*K73</f>
        <v>1189.68</v>
      </c>
      <c r="M73" s="111">
        <v>6</v>
      </c>
      <c r="N73" s="110">
        <f t="shared" si="44"/>
        <v>1189.68</v>
      </c>
      <c r="O73" s="111">
        <v>6</v>
      </c>
      <c r="P73" s="110">
        <f t="shared" ref="P73" si="45">198.28*O73</f>
        <v>1189.68</v>
      </c>
      <c r="Q73" s="111">
        <v>6</v>
      </c>
      <c r="R73" s="110">
        <f t="shared" ref="R73" si="46">198.28*Q73</f>
        <v>1189.68</v>
      </c>
      <c r="S73" s="111">
        <v>6</v>
      </c>
      <c r="T73" s="110">
        <f t="shared" ref="T73" si="47">198.28*S73</f>
        <v>1189.68</v>
      </c>
      <c r="U73" s="111">
        <v>6</v>
      </c>
      <c r="V73" s="110">
        <f t="shared" ref="V73" si="48">198.28*U73</f>
        <v>1189.68</v>
      </c>
      <c r="W73" s="111">
        <v>6</v>
      </c>
      <c r="X73" s="110">
        <f t="shared" ref="X73" si="49">198.28*W73</f>
        <v>1189.68</v>
      </c>
      <c r="Y73" s="111">
        <v>6</v>
      </c>
      <c r="Z73" s="110">
        <f t="shared" ref="Z73" si="50">198.28*Y73</f>
        <v>1189.68</v>
      </c>
      <c r="AA73" s="111">
        <v>6</v>
      </c>
      <c r="AB73" s="110">
        <f t="shared" ref="AB73" si="51">198.28*AA73</f>
        <v>1189.68</v>
      </c>
      <c r="AC73" s="111">
        <v>6</v>
      </c>
      <c r="AD73" s="110">
        <f t="shared" si="27"/>
        <v>1189.68</v>
      </c>
      <c r="AE73" s="130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</row>
    <row r="74" spans="1:194" s="95" customFormat="1" ht="24" x14ac:dyDescent="0.2">
      <c r="A74" s="98"/>
      <c r="B74" s="55"/>
      <c r="C74" s="102" t="s">
        <v>202</v>
      </c>
      <c r="D74" s="103">
        <f t="shared" si="16"/>
        <v>72</v>
      </c>
      <c r="E74" s="104" t="s">
        <v>35</v>
      </c>
      <c r="F74" s="105">
        <f t="shared" si="17"/>
        <v>14276.16</v>
      </c>
      <c r="G74" s="111">
        <v>6</v>
      </c>
      <c r="H74" s="110">
        <f t="shared" si="18"/>
        <v>1189.68</v>
      </c>
      <c r="I74" s="111">
        <v>6</v>
      </c>
      <c r="J74" s="110">
        <f t="shared" si="18"/>
        <v>1189.68</v>
      </c>
      <c r="K74" s="111">
        <v>6</v>
      </c>
      <c r="L74" s="110">
        <f t="shared" ref="L74:N74" si="52">198.28*K74</f>
        <v>1189.68</v>
      </c>
      <c r="M74" s="111">
        <v>6</v>
      </c>
      <c r="N74" s="110">
        <f t="shared" si="52"/>
        <v>1189.68</v>
      </c>
      <c r="O74" s="111">
        <v>6</v>
      </c>
      <c r="P74" s="110">
        <f t="shared" ref="P74" si="53">198.28*O74</f>
        <v>1189.68</v>
      </c>
      <c r="Q74" s="111">
        <v>6</v>
      </c>
      <c r="R74" s="110">
        <f t="shared" ref="R74" si="54">198.28*Q74</f>
        <v>1189.68</v>
      </c>
      <c r="S74" s="111">
        <v>6</v>
      </c>
      <c r="T74" s="110">
        <f t="shared" ref="T74" si="55">198.28*S74</f>
        <v>1189.68</v>
      </c>
      <c r="U74" s="111">
        <v>6</v>
      </c>
      <c r="V74" s="110">
        <f t="shared" ref="V74" si="56">198.28*U74</f>
        <v>1189.68</v>
      </c>
      <c r="W74" s="111">
        <v>6</v>
      </c>
      <c r="X74" s="110">
        <f t="shared" ref="X74" si="57">198.28*W74</f>
        <v>1189.68</v>
      </c>
      <c r="Y74" s="111">
        <v>6</v>
      </c>
      <c r="Z74" s="110">
        <f t="shared" ref="Z74" si="58">198.28*Y74</f>
        <v>1189.68</v>
      </c>
      <c r="AA74" s="111">
        <v>6</v>
      </c>
      <c r="AB74" s="110">
        <f t="shared" ref="AB74" si="59">198.28*AA74</f>
        <v>1189.68</v>
      </c>
      <c r="AC74" s="111">
        <v>6</v>
      </c>
      <c r="AD74" s="110">
        <f t="shared" si="27"/>
        <v>1189.68</v>
      </c>
      <c r="AE74" s="130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</row>
    <row r="75" spans="1:194" ht="25.5" customHeight="1" x14ac:dyDescent="0.2">
      <c r="B75" s="24">
        <v>215</v>
      </c>
      <c r="C75" s="20" t="s">
        <v>41</v>
      </c>
      <c r="D75" s="34"/>
      <c r="E75" s="19"/>
      <c r="F75" s="25">
        <f>SUM(F76:F76)</f>
        <v>0</v>
      </c>
      <c r="G75" s="39" t="s">
        <v>42</v>
      </c>
      <c r="H75" s="25">
        <f>SUM(H76:H76)</f>
        <v>0</v>
      </c>
      <c r="I75" s="40"/>
      <c r="J75" s="25">
        <f>SUM(J76:J76)</f>
        <v>0</v>
      </c>
      <c r="K75" s="40"/>
      <c r="L75" s="25">
        <f>SUM(L76:L76)</f>
        <v>0</v>
      </c>
      <c r="M75" s="40"/>
      <c r="N75" s="25">
        <f>SUM(N76:N76)</f>
        <v>0</v>
      </c>
      <c r="O75" s="40"/>
      <c r="P75" s="25">
        <f>SUM(P76:P76)</f>
        <v>0</v>
      </c>
      <c r="Q75" s="40"/>
      <c r="R75" s="25">
        <f>SUM(R76:R76)</f>
        <v>0</v>
      </c>
      <c r="S75" s="40"/>
      <c r="T75" s="25">
        <f>SUM(T76:T76)</f>
        <v>0</v>
      </c>
      <c r="U75" s="40"/>
      <c r="V75" s="25">
        <f>SUM(V76:V76)</f>
        <v>0</v>
      </c>
      <c r="W75" s="40"/>
      <c r="X75" s="25">
        <f>SUM(X76:X76)</f>
        <v>0</v>
      </c>
      <c r="Y75" s="40"/>
      <c r="Z75" s="25">
        <f>SUM(Z76:Z76)</f>
        <v>0</v>
      </c>
      <c r="AA75" s="40"/>
      <c r="AB75" s="25">
        <f>SUM(AB76:AB76)</f>
        <v>0</v>
      </c>
      <c r="AC75" s="40"/>
      <c r="AD75" s="25">
        <f>SUM(AD76:AD76)</f>
        <v>0</v>
      </c>
      <c r="AE75" s="130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</row>
    <row r="76" spans="1:194" ht="13.5" customHeight="1" x14ac:dyDescent="0.2">
      <c r="B76" s="24"/>
      <c r="C76" s="83" t="s">
        <v>43</v>
      </c>
      <c r="D76" s="28"/>
      <c r="E76" s="33"/>
      <c r="F76" s="30"/>
      <c r="G76" s="32"/>
      <c r="H76" s="31"/>
      <c r="I76" s="32"/>
      <c r="J76" s="31"/>
      <c r="K76" s="32"/>
      <c r="L76" s="31"/>
      <c r="M76" s="32"/>
      <c r="N76" s="31"/>
      <c r="O76" s="32"/>
      <c r="P76" s="31"/>
      <c r="Q76" s="32"/>
      <c r="R76" s="31"/>
      <c r="S76" s="32"/>
      <c r="T76" s="31"/>
      <c r="U76" s="32"/>
      <c r="V76" s="31"/>
      <c r="W76" s="32"/>
      <c r="X76" s="31"/>
      <c r="Y76" s="32"/>
      <c r="Z76" s="31"/>
      <c r="AA76" s="32"/>
      <c r="AB76" s="31"/>
      <c r="AC76" s="32"/>
      <c r="AD76" s="31"/>
      <c r="AE76" s="130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</row>
    <row r="77" spans="1:194" ht="12.75" customHeight="1" x14ac:dyDescent="0.2">
      <c r="B77" s="24">
        <v>216</v>
      </c>
      <c r="C77" s="20" t="s">
        <v>44</v>
      </c>
      <c r="D77" s="28"/>
      <c r="E77" s="19"/>
      <c r="F77" s="25">
        <f>SUM(F78:F98)</f>
        <v>102764.22</v>
      </c>
      <c r="G77" s="37" t="s">
        <v>42</v>
      </c>
      <c r="H77" s="25">
        <f>SUM(H78:H98)</f>
        <v>9012.7199999999993</v>
      </c>
      <c r="I77" s="26"/>
      <c r="J77" s="25">
        <f>SUM(J78:J98)</f>
        <v>8042.0599999999995</v>
      </c>
      <c r="K77" s="26"/>
      <c r="L77" s="25">
        <f>SUM(L78:L98)</f>
        <v>8530.3499999999985</v>
      </c>
      <c r="M77" s="26"/>
      <c r="N77" s="25">
        <f>SUM(N78:N98)</f>
        <v>8296.93</v>
      </c>
      <c r="O77" s="26"/>
      <c r="P77" s="25">
        <f>SUM(P78:P98)</f>
        <v>8530.3499999999985</v>
      </c>
      <c r="Q77" s="26"/>
      <c r="R77" s="25">
        <f>SUM(R78:R98)</f>
        <v>7799.8600000000006</v>
      </c>
      <c r="S77" s="26"/>
      <c r="T77" s="25">
        <f>SUM(T78:T98)</f>
        <v>8770.52</v>
      </c>
      <c r="U77" s="26"/>
      <c r="V77" s="25">
        <f>SUM(V78:V98)</f>
        <v>7751.42</v>
      </c>
      <c r="W77" s="26"/>
      <c r="X77" s="25">
        <f>SUM(X78:X98)</f>
        <v>8239.7099999999991</v>
      </c>
      <c r="Y77" s="26"/>
      <c r="Z77" s="25">
        <f>SUM(Z78:Z98)</f>
        <v>8054.7300000000005</v>
      </c>
      <c r="AA77" s="26"/>
      <c r="AB77" s="25">
        <f>SUM(AB78:AB98)</f>
        <v>8288.15</v>
      </c>
      <c r="AC77" s="26"/>
      <c r="AD77" s="25">
        <f>SUM(AD78:AD98)</f>
        <v>7751.42</v>
      </c>
      <c r="AE77" s="130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</row>
    <row r="78" spans="1:194" s="95" customFormat="1" ht="12.75" customHeight="1" x14ac:dyDescent="0.2">
      <c r="A78" s="98"/>
      <c r="B78" s="99"/>
      <c r="C78" s="102" t="s">
        <v>203</v>
      </c>
      <c r="D78" s="103">
        <f>G78+I78+K78+M78+O78+Q78+S78+U78+W78+Y78+AA78+AC78</f>
        <v>60</v>
      </c>
      <c r="E78" s="104" t="s">
        <v>35</v>
      </c>
      <c r="F78" s="105">
        <f>51.77*D78</f>
        <v>3106.2000000000003</v>
      </c>
      <c r="G78" s="111">
        <v>5</v>
      </c>
      <c r="H78" s="110">
        <f>51.77*G78</f>
        <v>258.85000000000002</v>
      </c>
      <c r="I78" s="111">
        <v>5</v>
      </c>
      <c r="J78" s="110">
        <f>51.77*I78</f>
        <v>258.85000000000002</v>
      </c>
      <c r="K78" s="111">
        <v>5</v>
      </c>
      <c r="L78" s="110">
        <f>51.77*K78</f>
        <v>258.85000000000002</v>
      </c>
      <c r="M78" s="111">
        <v>5</v>
      </c>
      <c r="N78" s="110">
        <f>51.77*M78</f>
        <v>258.85000000000002</v>
      </c>
      <c r="O78" s="111">
        <v>5</v>
      </c>
      <c r="P78" s="110">
        <f>51.77*O78</f>
        <v>258.85000000000002</v>
      </c>
      <c r="Q78" s="111">
        <v>5</v>
      </c>
      <c r="R78" s="110">
        <f>51.77*Q78</f>
        <v>258.85000000000002</v>
      </c>
      <c r="S78" s="111">
        <v>5</v>
      </c>
      <c r="T78" s="110">
        <f>51.77*S78</f>
        <v>258.85000000000002</v>
      </c>
      <c r="U78" s="111">
        <v>5</v>
      </c>
      <c r="V78" s="110">
        <f>51.77*U78</f>
        <v>258.85000000000002</v>
      </c>
      <c r="W78" s="111">
        <v>5</v>
      </c>
      <c r="X78" s="110">
        <f>51.77*W78</f>
        <v>258.85000000000002</v>
      </c>
      <c r="Y78" s="111">
        <v>5</v>
      </c>
      <c r="Z78" s="110">
        <f>51.77*Y78</f>
        <v>258.85000000000002</v>
      </c>
      <c r="AA78" s="111">
        <v>5</v>
      </c>
      <c r="AB78" s="110">
        <f>51.77*AA78</f>
        <v>258.85000000000002</v>
      </c>
      <c r="AC78" s="111">
        <v>5</v>
      </c>
      <c r="AD78" s="110">
        <f>51.77*AC78</f>
        <v>258.85000000000002</v>
      </c>
      <c r="AE78" s="130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</row>
    <row r="79" spans="1:194" s="95" customFormat="1" ht="25.5" customHeight="1" x14ac:dyDescent="0.2">
      <c r="A79" s="98"/>
      <c r="B79" s="99"/>
      <c r="C79" s="102" t="s">
        <v>204</v>
      </c>
      <c r="D79" s="103">
        <f>G79+I79+K79+M79+O79+Q79+S79+U79+W79+Y79+AA79+AC79</f>
        <v>600</v>
      </c>
      <c r="E79" s="104" t="s">
        <v>35</v>
      </c>
      <c r="F79" s="105">
        <f>20.26*D79</f>
        <v>12156.000000000002</v>
      </c>
      <c r="G79" s="107">
        <v>50</v>
      </c>
      <c r="H79" s="105">
        <f>20.26*G79</f>
        <v>1013.0000000000001</v>
      </c>
      <c r="I79" s="107">
        <v>50</v>
      </c>
      <c r="J79" s="108">
        <f>20.26*I79</f>
        <v>1013.0000000000001</v>
      </c>
      <c r="K79" s="107">
        <v>50</v>
      </c>
      <c r="L79" s="108">
        <f>20.26*K79</f>
        <v>1013.0000000000001</v>
      </c>
      <c r="M79" s="107">
        <v>50</v>
      </c>
      <c r="N79" s="108">
        <f>20.26*M79</f>
        <v>1013.0000000000001</v>
      </c>
      <c r="O79" s="107">
        <v>50</v>
      </c>
      <c r="P79" s="108">
        <f>20.26*O79</f>
        <v>1013.0000000000001</v>
      </c>
      <c r="Q79" s="107">
        <v>50</v>
      </c>
      <c r="R79" s="108">
        <f>20.26*Q79</f>
        <v>1013.0000000000001</v>
      </c>
      <c r="S79" s="107">
        <v>50</v>
      </c>
      <c r="T79" s="108">
        <f>20.26*S79</f>
        <v>1013.0000000000001</v>
      </c>
      <c r="U79" s="107">
        <v>50</v>
      </c>
      <c r="V79" s="108">
        <f>20.26*U79</f>
        <v>1013.0000000000001</v>
      </c>
      <c r="W79" s="107">
        <v>50</v>
      </c>
      <c r="X79" s="108">
        <f>20.26*W79</f>
        <v>1013.0000000000001</v>
      </c>
      <c r="Y79" s="107">
        <v>50</v>
      </c>
      <c r="Z79" s="108">
        <f>20.26*Y79</f>
        <v>1013.0000000000001</v>
      </c>
      <c r="AA79" s="107">
        <v>50</v>
      </c>
      <c r="AB79" s="108">
        <f>20.26*AA79</f>
        <v>1013.0000000000001</v>
      </c>
      <c r="AC79" s="107">
        <v>50</v>
      </c>
      <c r="AD79" s="108">
        <f>20.26*AC79</f>
        <v>1013.0000000000001</v>
      </c>
      <c r="AE79" s="130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</row>
    <row r="80" spans="1:194" s="95" customFormat="1" ht="26.25" customHeight="1" x14ac:dyDescent="0.2">
      <c r="A80" s="116"/>
      <c r="B80" s="99"/>
      <c r="C80" s="102" t="s">
        <v>205</v>
      </c>
      <c r="D80" s="103">
        <f>G80+I80+K80+M80+O80+Q80+S80+U80+W80+Y80+AA80+AC80</f>
        <v>82</v>
      </c>
      <c r="E80" s="104" t="s">
        <v>35</v>
      </c>
      <c r="F80" s="105">
        <f>48.44*D80</f>
        <v>3972.08</v>
      </c>
      <c r="G80" s="111">
        <v>10</v>
      </c>
      <c r="H80" s="110">
        <f>48.44*G80</f>
        <v>484.4</v>
      </c>
      <c r="I80" s="111">
        <v>10</v>
      </c>
      <c r="J80" s="110">
        <f>48.44*I80</f>
        <v>484.4</v>
      </c>
      <c r="K80" s="111">
        <v>10</v>
      </c>
      <c r="L80" s="110">
        <f>48.44*K80</f>
        <v>484.4</v>
      </c>
      <c r="M80" s="111">
        <v>10</v>
      </c>
      <c r="N80" s="110">
        <f>48.44*M80</f>
        <v>484.4</v>
      </c>
      <c r="O80" s="111">
        <v>10</v>
      </c>
      <c r="P80" s="110">
        <f>48.44*O80</f>
        <v>484.4</v>
      </c>
      <c r="Q80" s="111">
        <v>5</v>
      </c>
      <c r="R80" s="110">
        <f>48.44*Q80</f>
        <v>242.2</v>
      </c>
      <c r="S80" s="111">
        <v>5</v>
      </c>
      <c r="T80" s="110">
        <f>48.44*S80</f>
        <v>242.2</v>
      </c>
      <c r="U80" s="111">
        <v>4</v>
      </c>
      <c r="V80" s="110">
        <f>48.44*U80</f>
        <v>193.76</v>
      </c>
      <c r="W80" s="111">
        <v>4</v>
      </c>
      <c r="X80" s="110">
        <f>48.44*W80</f>
        <v>193.76</v>
      </c>
      <c r="Y80" s="111">
        <v>5</v>
      </c>
      <c r="Z80" s="110">
        <f>48.44*Y80</f>
        <v>242.2</v>
      </c>
      <c r="AA80" s="111">
        <v>5</v>
      </c>
      <c r="AB80" s="110">
        <f>48.44*AA80</f>
        <v>242.2</v>
      </c>
      <c r="AC80" s="111">
        <v>4</v>
      </c>
      <c r="AD80" s="110">
        <f>48.44*AC80</f>
        <v>193.76</v>
      </c>
      <c r="AE80" s="130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</row>
    <row r="81" spans="1:194" ht="12.75" customHeight="1" x14ac:dyDescent="0.2">
      <c r="A81" s="98"/>
      <c r="B81" s="99"/>
      <c r="C81" s="102" t="s">
        <v>206</v>
      </c>
      <c r="D81" s="103">
        <f t="shared" ref="D81:D83" si="60">G81+I81+K81+M81+O81+Q81+S81+U81+W81+Y81+AA81+AC81</f>
        <v>24</v>
      </c>
      <c r="E81" s="104" t="s">
        <v>207</v>
      </c>
      <c r="F81" s="105">
        <f>178.05*D81</f>
        <v>4273.2000000000007</v>
      </c>
      <c r="G81" s="111">
        <v>2</v>
      </c>
      <c r="H81" s="110">
        <f>178.05*G81</f>
        <v>356.1</v>
      </c>
      <c r="I81" s="111">
        <v>2</v>
      </c>
      <c r="J81" s="110">
        <f>178.05*I81</f>
        <v>356.1</v>
      </c>
      <c r="K81" s="111">
        <v>2</v>
      </c>
      <c r="L81" s="110">
        <f>178.05*K81</f>
        <v>356.1</v>
      </c>
      <c r="M81" s="111">
        <v>2</v>
      </c>
      <c r="N81" s="110">
        <f>178.05*M81</f>
        <v>356.1</v>
      </c>
      <c r="O81" s="111">
        <v>2</v>
      </c>
      <c r="P81" s="110">
        <f>178.05*O81</f>
        <v>356.1</v>
      </c>
      <c r="Q81" s="111">
        <v>2</v>
      </c>
      <c r="R81" s="110">
        <f>178.05*Q81</f>
        <v>356.1</v>
      </c>
      <c r="S81" s="111">
        <v>2</v>
      </c>
      <c r="T81" s="110">
        <f>178.05*S81</f>
        <v>356.1</v>
      </c>
      <c r="U81" s="111">
        <v>2</v>
      </c>
      <c r="V81" s="110">
        <f>178.05*U81</f>
        <v>356.1</v>
      </c>
      <c r="W81" s="111">
        <v>2</v>
      </c>
      <c r="X81" s="110">
        <f>178.05*W81</f>
        <v>356.1</v>
      </c>
      <c r="Y81" s="111">
        <v>2</v>
      </c>
      <c r="Z81" s="110">
        <f>178.05*Y81</f>
        <v>356.1</v>
      </c>
      <c r="AA81" s="111">
        <v>2</v>
      </c>
      <c r="AB81" s="110">
        <f>178.05*AA81</f>
        <v>356.1</v>
      </c>
      <c r="AC81" s="111">
        <v>2</v>
      </c>
      <c r="AD81" s="110">
        <f>178.05*AC81</f>
        <v>356.1</v>
      </c>
      <c r="AE81" s="130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</row>
    <row r="82" spans="1:194" s="95" customFormat="1" ht="27" customHeight="1" x14ac:dyDescent="0.2">
      <c r="A82" s="98"/>
      <c r="B82" s="99"/>
      <c r="C82" s="102" t="s">
        <v>208</v>
      </c>
      <c r="D82" s="103">
        <f t="shared" si="60"/>
        <v>180</v>
      </c>
      <c r="E82" s="104" t="s">
        <v>35</v>
      </c>
      <c r="F82" s="105">
        <f>21.06*D82</f>
        <v>3790.7999999999997</v>
      </c>
      <c r="G82" s="107">
        <v>15</v>
      </c>
      <c r="H82" s="108">
        <f>21.06*G82</f>
        <v>315.89999999999998</v>
      </c>
      <c r="I82" s="107">
        <v>15</v>
      </c>
      <c r="J82" s="108">
        <f>21.06*I82</f>
        <v>315.89999999999998</v>
      </c>
      <c r="K82" s="107">
        <v>15</v>
      </c>
      <c r="L82" s="108">
        <f>21.06*K82</f>
        <v>315.89999999999998</v>
      </c>
      <c r="M82" s="107">
        <v>15</v>
      </c>
      <c r="N82" s="108">
        <f>21.06*M82</f>
        <v>315.89999999999998</v>
      </c>
      <c r="O82" s="107">
        <v>15</v>
      </c>
      <c r="P82" s="108">
        <f>21.06*O82</f>
        <v>315.89999999999998</v>
      </c>
      <c r="Q82" s="107">
        <v>15</v>
      </c>
      <c r="R82" s="108">
        <f>21.06*Q82</f>
        <v>315.89999999999998</v>
      </c>
      <c r="S82" s="107">
        <v>15</v>
      </c>
      <c r="T82" s="108">
        <f>21.06*S82</f>
        <v>315.89999999999998</v>
      </c>
      <c r="U82" s="107">
        <v>15</v>
      </c>
      <c r="V82" s="108">
        <f>21.06*U82</f>
        <v>315.89999999999998</v>
      </c>
      <c r="W82" s="107">
        <v>15</v>
      </c>
      <c r="X82" s="108">
        <f>21.06*W82</f>
        <v>315.89999999999998</v>
      </c>
      <c r="Y82" s="107">
        <v>15</v>
      </c>
      <c r="Z82" s="108">
        <f>21.06*Y82</f>
        <v>315.89999999999998</v>
      </c>
      <c r="AA82" s="107">
        <v>15</v>
      </c>
      <c r="AB82" s="108">
        <f>21.06*AA82</f>
        <v>315.89999999999998</v>
      </c>
      <c r="AC82" s="107">
        <v>15</v>
      </c>
      <c r="AD82" s="108">
        <f>21.06*AC82</f>
        <v>315.89999999999998</v>
      </c>
      <c r="AE82" s="130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</row>
    <row r="83" spans="1:194" s="95" customFormat="1" ht="27" customHeight="1" x14ac:dyDescent="0.2">
      <c r="A83" s="98"/>
      <c r="B83" s="99"/>
      <c r="C83" s="102" t="s">
        <v>209</v>
      </c>
      <c r="D83" s="103">
        <f t="shared" si="60"/>
        <v>6</v>
      </c>
      <c r="E83" s="104" t="s">
        <v>210</v>
      </c>
      <c r="F83" s="105">
        <f>273.99*D83</f>
        <v>1643.94</v>
      </c>
      <c r="G83" s="107">
        <v>1</v>
      </c>
      <c r="H83" s="108">
        <f>273.99*G83</f>
        <v>273.99</v>
      </c>
      <c r="I83" s="107">
        <v>0</v>
      </c>
      <c r="J83" s="108">
        <f>273.99*I83</f>
        <v>0</v>
      </c>
      <c r="K83" s="107">
        <v>1</v>
      </c>
      <c r="L83" s="108">
        <f>273.99*K83</f>
        <v>273.99</v>
      </c>
      <c r="M83" s="107">
        <v>0</v>
      </c>
      <c r="N83" s="108">
        <f>273.99*M83</f>
        <v>0</v>
      </c>
      <c r="O83" s="107">
        <v>1</v>
      </c>
      <c r="P83" s="108">
        <f>273.99*O83</f>
        <v>273.99</v>
      </c>
      <c r="Q83" s="107"/>
      <c r="R83" s="108">
        <f>273.99*Q83</f>
        <v>0</v>
      </c>
      <c r="S83" s="107">
        <v>1</v>
      </c>
      <c r="T83" s="108">
        <f>273.99*S83</f>
        <v>273.99</v>
      </c>
      <c r="U83" s="107">
        <v>0</v>
      </c>
      <c r="V83" s="108">
        <f>273.99*U83</f>
        <v>0</v>
      </c>
      <c r="W83" s="107">
        <v>1</v>
      </c>
      <c r="X83" s="108">
        <f>273.99*W83</f>
        <v>273.99</v>
      </c>
      <c r="Y83" s="107">
        <v>0</v>
      </c>
      <c r="Z83" s="108">
        <f>273.99*Y83</f>
        <v>0</v>
      </c>
      <c r="AA83" s="107">
        <v>1</v>
      </c>
      <c r="AB83" s="108">
        <f>273.99*AA83</f>
        <v>273.99</v>
      </c>
      <c r="AC83" s="107">
        <v>0</v>
      </c>
      <c r="AD83" s="108">
        <f>273.99*AC83</f>
        <v>0</v>
      </c>
      <c r="AE83" s="130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</row>
    <row r="84" spans="1:194" s="95" customFormat="1" ht="12.75" x14ac:dyDescent="0.2">
      <c r="A84" s="98"/>
      <c r="B84" s="99"/>
      <c r="C84" s="102" t="s">
        <v>211</v>
      </c>
      <c r="D84" s="103">
        <f>G84+I84+K84+M84+O84+Q84+S84+U84+W84+Y84+AA84+AC84</f>
        <v>480</v>
      </c>
      <c r="E84" s="104" t="s">
        <v>35</v>
      </c>
      <c r="F84" s="105">
        <f>22.86*D84</f>
        <v>10972.8</v>
      </c>
      <c r="G84" s="107">
        <v>40</v>
      </c>
      <c r="H84" s="105">
        <f>22.86*G84</f>
        <v>914.4</v>
      </c>
      <c r="I84" s="107">
        <v>40</v>
      </c>
      <c r="J84" s="105">
        <f>22.86*I84</f>
        <v>914.4</v>
      </c>
      <c r="K84" s="107">
        <v>40</v>
      </c>
      <c r="L84" s="105">
        <f>22.86*K84</f>
        <v>914.4</v>
      </c>
      <c r="M84" s="107">
        <v>40</v>
      </c>
      <c r="N84" s="105">
        <f>22.86*M84</f>
        <v>914.4</v>
      </c>
      <c r="O84" s="107">
        <v>40</v>
      </c>
      <c r="P84" s="105">
        <f>22.86*O84</f>
        <v>914.4</v>
      </c>
      <c r="Q84" s="107">
        <v>40</v>
      </c>
      <c r="R84" s="105">
        <f>22.86*Q84</f>
        <v>914.4</v>
      </c>
      <c r="S84" s="107">
        <v>40</v>
      </c>
      <c r="T84" s="105">
        <f>22.86*S84</f>
        <v>914.4</v>
      </c>
      <c r="U84" s="107">
        <v>40</v>
      </c>
      <c r="V84" s="105">
        <f>22.86*U84</f>
        <v>914.4</v>
      </c>
      <c r="W84" s="107">
        <v>40</v>
      </c>
      <c r="X84" s="105">
        <f>22.86*W84</f>
        <v>914.4</v>
      </c>
      <c r="Y84" s="107">
        <v>40</v>
      </c>
      <c r="Z84" s="105">
        <f>22.86*Y84</f>
        <v>914.4</v>
      </c>
      <c r="AA84" s="107">
        <v>40</v>
      </c>
      <c r="AB84" s="105">
        <f>22.86*AA84</f>
        <v>914.4</v>
      </c>
      <c r="AC84" s="107">
        <v>40</v>
      </c>
      <c r="AD84" s="105">
        <f>22.86*AC84</f>
        <v>914.4</v>
      </c>
      <c r="AE84" s="130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</row>
    <row r="85" spans="1:194" s="95" customFormat="1" ht="27" customHeight="1" x14ac:dyDescent="0.2">
      <c r="A85" s="98"/>
      <c r="B85" s="99"/>
      <c r="C85" s="102" t="s">
        <v>212</v>
      </c>
      <c r="D85" s="103">
        <f>G85+I85+K85+M85+O85+Q85+S85+U85+W85+Y85+AA85+AC85</f>
        <v>600</v>
      </c>
      <c r="E85" s="104" t="s">
        <v>35</v>
      </c>
      <c r="F85" s="105">
        <f>19.02*D85</f>
        <v>11412</v>
      </c>
      <c r="G85" s="107">
        <v>50</v>
      </c>
      <c r="H85" s="105">
        <f>19.02*G85</f>
        <v>951</v>
      </c>
      <c r="I85" s="107">
        <v>50</v>
      </c>
      <c r="J85" s="105">
        <f>19.02*I85</f>
        <v>951</v>
      </c>
      <c r="K85" s="107">
        <v>50</v>
      </c>
      <c r="L85" s="105">
        <f>19.02*K85</f>
        <v>951</v>
      </c>
      <c r="M85" s="107">
        <v>50</v>
      </c>
      <c r="N85" s="105">
        <f>19.02*M85</f>
        <v>951</v>
      </c>
      <c r="O85" s="107">
        <v>50</v>
      </c>
      <c r="P85" s="105">
        <f>19.02*O85</f>
        <v>951</v>
      </c>
      <c r="Q85" s="107">
        <v>50</v>
      </c>
      <c r="R85" s="105">
        <f>19.02*Q85</f>
        <v>951</v>
      </c>
      <c r="S85" s="107">
        <v>50</v>
      </c>
      <c r="T85" s="105">
        <f>19.02*S85</f>
        <v>951</v>
      </c>
      <c r="U85" s="107">
        <v>50</v>
      </c>
      <c r="V85" s="105">
        <f>19.02*U85</f>
        <v>951</v>
      </c>
      <c r="W85" s="107">
        <v>50</v>
      </c>
      <c r="X85" s="105">
        <f>19.02*W85</f>
        <v>951</v>
      </c>
      <c r="Y85" s="107">
        <v>50</v>
      </c>
      <c r="Z85" s="105">
        <f>19.02*Y85</f>
        <v>951</v>
      </c>
      <c r="AA85" s="107">
        <v>50</v>
      </c>
      <c r="AB85" s="105">
        <f>19.02*AA85</f>
        <v>951</v>
      </c>
      <c r="AC85" s="107">
        <v>50</v>
      </c>
      <c r="AD85" s="105">
        <f>19.02*AC85</f>
        <v>951</v>
      </c>
      <c r="AE85" s="130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</row>
    <row r="86" spans="1:194" s="96" customFormat="1" ht="12.75" x14ac:dyDescent="0.2">
      <c r="A86" s="117"/>
      <c r="B86" s="118"/>
      <c r="C86" s="113" t="s">
        <v>213</v>
      </c>
      <c r="D86" s="103">
        <f>G86+I86+K86+M86+O86+Q86+S86+U86+W86+Y86+AA86+AC86</f>
        <v>600</v>
      </c>
      <c r="E86" s="104" t="s">
        <v>35</v>
      </c>
      <c r="F86" s="105">
        <f>19.02*D86</f>
        <v>11412</v>
      </c>
      <c r="G86" s="114">
        <v>50</v>
      </c>
      <c r="H86" s="115">
        <f>12.86*G86</f>
        <v>643</v>
      </c>
      <c r="I86" s="114">
        <v>50</v>
      </c>
      <c r="J86" s="115">
        <f>12.86*I86</f>
        <v>643</v>
      </c>
      <c r="K86" s="114">
        <v>50</v>
      </c>
      <c r="L86" s="115">
        <f>12.86*K86</f>
        <v>643</v>
      </c>
      <c r="M86" s="114">
        <v>50</v>
      </c>
      <c r="N86" s="115">
        <f>12.86*M86</f>
        <v>643</v>
      </c>
      <c r="O86" s="114">
        <v>50</v>
      </c>
      <c r="P86" s="115">
        <f>12.86*O86</f>
        <v>643</v>
      </c>
      <c r="Q86" s="114">
        <v>50</v>
      </c>
      <c r="R86" s="115">
        <f>12.86*Q86</f>
        <v>643</v>
      </c>
      <c r="S86" s="114">
        <v>50</v>
      </c>
      <c r="T86" s="115">
        <f>12.86*S86</f>
        <v>643</v>
      </c>
      <c r="U86" s="114">
        <v>50</v>
      </c>
      <c r="V86" s="115">
        <f>12.86*U86</f>
        <v>643</v>
      </c>
      <c r="W86" s="114">
        <v>50</v>
      </c>
      <c r="X86" s="115">
        <f>12.86*W86</f>
        <v>643</v>
      </c>
      <c r="Y86" s="114">
        <v>50</v>
      </c>
      <c r="Z86" s="115">
        <f>12.86*Y86</f>
        <v>643</v>
      </c>
      <c r="AA86" s="114">
        <v>50</v>
      </c>
      <c r="AB86" s="115">
        <f>12.86*AA86</f>
        <v>643</v>
      </c>
      <c r="AC86" s="114">
        <v>50</v>
      </c>
      <c r="AD86" s="115">
        <f>12.86*AC86</f>
        <v>643</v>
      </c>
      <c r="AE86" s="132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</row>
    <row r="87" spans="1:194" s="95" customFormat="1" ht="12.75" x14ac:dyDescent="0.2">
      <c r="A87" s="98"/>
      <c r="B87" s="99"/>
      <c r="C87" s="102" t="s">
        <v>217</v>
      </c>
      <c r="D87" s="103">
        <f>G87+I87+K87+M87+O87+Q87+S87+U87+W87+Y87+AA87+AC87</f>
        <v>60</v>
      </c>
      <c r="E87" s="104" t="s">
        <v>145</v>
      </c>
      <c r="F87" s="105">
        <f>12.89*D87</f>
        <v>773.40000000000009</v>
      </c>
      <c r="G87" s="107">
        <v>5</v>
      </c>
      <c r="H87" s="108">
        <f>12.89*G87</f>
        <v>64.45</v>
      </c>
      <c r="I87" s="107">
        <v>5</v>
      </c>
      <c r="J87" s="108">
        <f>12.89*I87</f>
        <v>64.45</v>
      </c>
      <c r="K87" s="107">
        <v>5</v>
      </c>
      <c r="L87" s="108">
        <f>12.89*K87</f>
        <v>64.45</v>
      </c>
      <c r="M87" s="107">
        <v>5</v>
      </c>
      <c r="N87" s="108">
        <f>12.89*M87</f>
        <v>64.45</v>
      </c>
      <c r="O87" s="107">
        <v>5</v>
      </c>
      <c r="P87" s="108">
        <f>12.89*O87</f>
        <v>64.45</v>
      </c>
      <c r="Q87" s="107">
        <v>5</v>
      </c>
      <c r="R87" s="108">
        <f>12.89*Q87</f>
        <v>64.45</v>
      </c>
      <c r="S87" s="107">
        <v>5</v>
      </c>
      <c r="T87" s="108">
        <f>12.89*S87</f>
        <v>64.45</v>
      </c>
      <c r="U87" s="107">
        <v>5</v>
      </c>
      <c r="V87" s="108">
        <f>12.89*U87</f>
        <v>64.45</v>
      </c>
      <c r="W87" s="107">
        <v>5</v>
      </c>
      <c r="X87" s="108">
        <f>12.89*W87</f>
        <v>64.45</v>
      </c>
      <c r="Y87" s="107">
        <v>5</v>
      </c>
      <c r="Z87" s="108">
        <f>12.89*Y87</f>
        <v>64.45</v>
      </c>
      <c r="AA87" s="107">
        <v>5</v>
      </c>
      <c r="AB87" s="108">
        <f>12.89*AA87</f>
        <v>64.45</v>
      </c>
      <c r="AC87" s="107">
        <v>5</v>
      </c>
      <c r="AD87" s="108">
        <f>12.89*AC87</f>
        <v>64.45</v>
      </c>
      <c r="AE87" s="130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</row>
    <row r="88" spans="1:194" s="95" customFormat="1" ht="12.75" x14ac:dyDescent="0.2">
      <c r="A88" s="98"/>
      <c r="B88" s="99"/>
      <c r="C88" s="102" t="s">
        <v>218</v>
      </c>
      <c r="D88" s="103">
        <f t="shared" ref="D88:D98" si="61">G88+I88+K88+M88+O88+Q88+S88+U88+W88+Y88+AA88+AC88</f>
        <v>60</v>
      </c>
      <c r="E88" s="104" t="s">
        <v>35</v>
      </c>
      <c r="F88" s="105">
        <f>39.5*D88</f>
        <v>2370</v>
      </c>
      <c r="G88" s="107">
        <v>5</v>
      </c>
      <c r="H88" s="108">
        <f>39.5*G88</f>
        <v>197.5</v>
      </c>
      <c r="I88" s="107">
        <v>5</v>
      </c>
      <c r="J88" s="108">
        <f>39.5*I88</f>
        <v>197.5</v>
      </c>
      <c r="K88" s="107">
        <v>5</v>
      </c>
      <c r="L88" s="108">
        <f>39.5*K88</f>
        <v>197.5</v>
      </c>
      <c r="M88" s="107">
        <v>5</v>
      </c>
      <c r="N88" s="108">
        <f>39.5*M88</f>
        <v>197.5</v>
      </c>
      <c r="O88" s="107">
        <v>5</v>
      </c>
      <c r="P88" s="108">
        <f>39.5*O88</f>
        <v>197.5</v>
      </c>
      <c r="Q88" s="107">
        <v>5</v>
      </c>
      <c r="R88" s="108">
        <f>39.5*Q88</f>
        <v>197.5</v>
      </c>
      <c r="S88" s="107">
        <v>5</v>
      </c>
      <c r="T88" s="108">
        <f>39.5*S88</f>
        <v>197.5</v>
      </c>
      <c r="U88" s="107">
        <v>5</v>
      </c>
      <c r="V88" s="108">
        <f>39.5*U88</f>
        <v>197.5</v>
      </c>
      <c r="W88" s="107">
        <v>5</v>
      </c>
      <c r="X88" s="108">
        <f>39.5*W88</f>
        <v>197.5</v>
      </c>
      <c r="Y88" s="107">
        <v>5</v>
      </c>
      <c r="Z88" s="108">
        <f>39.5*Y88</f>
        <v>197.5</v>
      </c>
      <c r="AA88" s="107">
        <v>5</v>
      </c>
      <c r="AB88" s="108">
        <f>39.5*AA88</f>
        <v>197.5</v>
      </c>
      <c r="AC88" s="107">
        <v>5</v>
      </c>
      <c r="AD88" s="108">
        <f>39.5*AC88</f>
        <v>197.5</v>
      </c>
      <c r="AE88" s="130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</row>
    <row r="89" spans="1:194" s="95" customFormat="1" ht="27" customHeight="1" x14ac:dyDescent="0.2">
      <c r="A89" s="98"/>
      <c r="B89" s="99"/>
      <c r="C89" s="102" t="s">
        <v>219</v>
      </c>
      <c r="D89" s="103">
        <f t="shared" si="61"/>
        <v>72</v>
      </c>
      <c r="E89" s="104" t="s">
        <v>35</v>
      </c>
      <c r="F89" s="105">
        <f>26.89*D89</f>
        <v>1936.08</v>
      </c>
      <c r="G89" s="107">
        <v>6</v>
      </c>
      <c r="H89" s="108">
        <f>26.89*G89</f>
        <v>161.34</v>
      </c>
      <c r="I89" s="107">
        <v>6</v>
      </c>
      <c r="J89" s="108">
        <f>26.89*I89</f>
        <v>161.34</v>
      </c>
      <c r="K89" s="107">
        <v>6</v>
      </c>
      <c r="L89" s="108">
        <f>26.89*K89</f>
        <v>161.34</v>
      </c>
      <c r="M89" s="107">
        <v>6</v>
      </c>
      <c r="N89" s="108">
        <f>26.89*M89</f>
        <v>161.34</v>
      </c>
      <c r="O89" s="107">
        <v>6</v>
      </c>
      <c r="P89" s="108">
        <f>26.89*O89</f>
        <v>161.34</v>
      </c>
      <c r="Q89" s="107">
        <v>6</v>
      </c>
      <c r="R89" s="108">
        <f>26.89*Q89</f>
        <v>161.34</v>
      </c>
      <c r="S89" s="107">
        <v>6</v>
      </c>
      <c r="T89" s="108">
        <f>26.89*S89</f>
        <v>161.34</v>
      </c>
      <c r="U89" s="107">
        <v>6</v>
      </c>
      <c r="V89" s="108">
        <f>26.89*U89</f>
        <v>161.34</v>
      </c>
      <c r="W89" s="107">
        <v>6</v>
      </c>
      <c r="X89" s="108">
        <f>26.89*W89</f>
        <v>161.34</v>
      </c>
      <c r="Y89" s="107">
        <v>6</v>
      </c>
      <c r="Z89" s="108">
        <f>26.89*Y89</f>
        <v>161.34</v>
      </c>
      <c r="AA89" s="107">
        <v>6</v>
      </c>
      <c r="AB89" s="108">
        <f>26.89*AA89</f>
        <v>161.34</v>
      </c>
      <c r="AC89" s="107">
        <v>6</v>
      </c>
      <c r="AD89" s="108">
        <f>26.89*AC89</f>
        <v>161.34</v>
      </c>
      <c r="AE89" s="130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</row>
    <row r="90" spans="1:194" s="95" customFormat="1" ht="27" customHeight="1" x14ac:dyDescent="0.2">
      <c r="A90" s="98"/>
      <c r="B90" s="99"/>
      <c r="C90" s="102" t="s">
        <v>220</v>
      </c>
      <c r="D90" s="103">
        <f t="shared" si="61"/>
        <v>12</v>
      </c>
      <c r="E90" s="104" t="s">
        <v>35</v>
      </c>
      <c r="F90" s="105">
        <f>70.45*D90</f>
        <v>845.40000000000009</v>
      </c>
      <c r="G90" s="107">
        <v>2</v>
      </c>
      <c r="H90" s="108">
        <f>70.45*G90</f>
        <v>140.9</v>
      </c>
      <c r="I90" s="107">
        <v>0</v>
      </c>
      <c r="J90" s="108">
        <f>I90</f>
        <v>0</v>
      </c>
      <c r="K90" s="107">
        <v>2</v>
      </c>
      <c r="L90" s="108">
        <f>70.45*K90</f>
        <v>140.9</v>
      </c>
      <c r="M90" s="107">
        <v>0</v>
      </c>
      <c r="N90" s="108">
        <f>M90</f>
        <v>0</v>
      </c>
      <c r="O90" s="107">
        <v>2</v>
      </c>
      <c r="P90" s="108">
        <f>70.45*O90</f>
        <v>140.9</v>
      </c>
      <c r="Q90" s="107">
        <v>0</v>
      </c>
      <c r="R90" s="108">
        <f>Q90</f>
        <v>0</v>
      </c>
      <c r="S90" s="107">
        <v>2</v>
      </c>
      <c r="T90" s="108">
        <f>70.45*S90</f>
        <v>140.9</v>
      </c>
      <c r="U90" s="107">
        <v>0</v>
      </c>
      <c r="V90" s="108">
        <f>U90</f>
        <v>0</v>
      </c>
      <c r="W90" s="107">
        <v>2</v>
      </c>
      <c r="X90" s="108">
        <f>70.45*W90</f>
        <v>140.9</v>
      </c>
      <c r="Y90" s="107">
        <v>0</v>
      </c>
      <c r="Z90" s="108">
        <f>Y90</f>
        <v>0</v>
      </c>
      <c r="AA90" s="107">
        <v>2</v>
      </c>
      <c r="AB90" s="108">
        <f>70.45*AA90</f>
        <v>140.9</v>
      </c>
      <c r="AC90" s="107">
        <v>0</v>
      </c>
      <c r="AD90" s="108">
        <f>AC90</f>
        <v>0</v>
      </c>
      <c r="AE90" s="130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</row>
    <row r="91" spans="1:194" s="95" customFormat="1" ht="12.75" x14ac:dyDescent="0.2">
      <c r="A91" s="98"/>
      <c r="B91" s="99"/>
      <c r="C91" s="102" t="s">
        <v>221</v>
      </c>
      <c r="D91" s="103">
        <f t="shared" si="61"/>
        <v>6</v>
      </c>
      <c r="E91" s="104" t="s">
        <v>35</v>
      </c>
      <c r="F91" s="105">
        <f>73.4*D91</f>
        <v>440.40000000000003</v>
      </c>
      <c r="G91" s="107">
        <v>1</v>
      </c>
      <c r="H91" s="108">
        <f>73.4*G91</f>
        <v>73.400000000000006</v>
      </c>
      <c r="I91" s="107">
        <v>0</v>
      </c>
      <c r="J91" s="108">
        <f>I91</f>
        <v>0</v>
      </c>
      <c r="K91" s="107">
        <v>1</v>
      </c>
      <c r="L91" s="108">
        <f>73.4*K91</f>
        <v>73.400000000000006</v>
      </c>
      <c r="M91" s="107">
        <v>0</v>
      </c>
      <c r="N91" s="108">
        <f>M91</f>
        <v>0</v>
      </c>
      <c r="O91" s="107">
        <v>1</v>
      </c>
      <c r="P91" s="108">
        <f>73.4*O91</f>
        <v>73.400000000000006</v>
      </c>
      <c r="Q91" s="107">
        <v>0</v>
      </c>
      <c r="R91" s="108">
        <f>Q91</f>
        <v>0</v>
      </c>
      <c r="S91" s="107">
        <v>1</v>
      </c>
      <c r="T91" s="108">
        <f>73.4*S91</f>
        <v>73.400000000000006</v>
      </c>
      <c r="U91" s="107">
        <v>0</v>
      </c>
      <c r="V91" s="108">
        <f>U91</f>
        <v>0</v>
      </c>
      <c r="W91" s="107">
        <v>1</v>
      </c>
      <c r="X91" s="108">
        <f>73.4*W91</f>
        <v>73.400000000000006</v>
      </c>
      <c r="Y91" s="107">
        <v>0</v>
      </c>
      <c r="Z91" s="108">
        <f>Y91</f>
        <v>0</v>
      </c>
      <c r="AA91" s="107">
        <v>1</v>
      </c>
      <c r="AB91" s="108">
        <f>73.4*AA91</f>
        <v>73.400000000000006</v>
      </c>
      <c r="AC91" s="107">
        <v>0</v>
      </c>
      <c r="AD91" s="108">
        <f>AC91</f>
        <v>0</v>
      </c>
      <c r="AE91" s="130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</row>
    <row r="92" spans="1:194" s="95" customFormat="1" ht="12.75" x14ac:dyDescent="0.2">
      <c r="A92" s="98"/>
      <c r="B92" s="99"/>
      <c r="C92" s="102" t="s">
        <v>222</v>
      </c>
      <c r="D92" s="103">
        <f t="shared" si="61"/>
        <v>96</v>
      </c>
      <c r="E92" s="104" t="s">
        <v>146</v>
      </c>
      <c r="F92" s="105">
        <f>271.59*D92</f>
        <v>26072.639999999999</v>
      </c>
      <c r="G92" s="107">
        <v>8</v>
      </c>
      <c r="H92" s="108">
        <f>271.59*G92</f>
        <v>2172.7199999999998</v>
      </c>
      <c r="I92" s="107">
        <v>8</v>
      </c>
      <c r="J92" s="108">
        <f>271.59*I92</f>
        <v>2172.7199999999998</v>
      </c>
      <c r="K92" s="107">
        <v>8</v>
      </c>
      <c r="L92" s="108">
        <f>271.59*K92</f>
        <v>2172.7199999999998</v>
      </c>
      <c r="M92" s="107">
        <v>8</v>
      </c>
      <c r="N92" s="108">
        <f>271.59*M92</f>
        <v>2172.7199999999998</v>
      </c>
      <c r="O92" s="107">
        <v>8</v>
      </c>
      <c r="P92" s="108">
        <f>271.59*O92</f>
        <v>2172.7199999999998</v>
      </c>
      <c r="Q92" s="107">
        <v>8</v>
      </c>
      <c r="R92" s="108">
        <f>271.59*Q92</f>
        <v>2172.7199999999998</v>
      </c>
      <c r="S92" s="107">
        <v>8</v>
      </c>
      <c r="T92" s="108">
        <f>271.59*S92</f>
        <v>2172.7199999999998</v>
      </c>
      <c r="U92" s="107">
        <v>8</v>
      </c>
      <c r="V92" s="108">
        <f>271.59*U92</f>
        <v>2172.7199999999998</v>
      </c>
      <c r="W92" s="107">
        <v>8</v>
      </c>
      <c r="X92" s="108">
        <f>271.59*W92</f>
        <v>2172.7199999999998</v>
      </c>
      <c r="Y92" s="107">
        <v>8</v>
      </c>
      <c r="Z92" s="108">
        <f>271.59*Y92</f>
        <v>2172.7199999999998</v>
      </c>
      <c r="AA92" s="107">
        <v>8</v>
      </c>
      <c r="AB92" s="108">
        <f>271.59*AA92</f>
        <v>2172.7199999999998</v>
      </c>
      <c r="AC92" s="107">
        <v>8</v>
      </c>
      <c r="AD92" s="108">
        <f>271.59*AC92</f>
        <v>2172.7199999999998</v>
      </c>
      <c r="AE92" s="130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</row>
    <row r="93" spans="1:194" s="95" customFormat="1" ht="12.75" x14ac:dyDescent="0.2">
      <c r="A93" s="98"/>
      <c r="B93" s="99"/>
      <c r="C93" s="102" t="s">
        <v>223</v>
      </c>
      <c r="D93" s="103">
        <f>G93+I93+K93+M93+O93+Q93+S93+U93+W93+Y93+AA93+AC93</f>
        <v>360</v>
      </c>
      <c r="E93" s="104" t="s">
        <v>35</v>
      </c>
      <c r="F93" s="105">
        <f>6.9*D93</f>
        <v>2484</v>
      </c>
      <c r="G93" s="107">
        <v>30</v>
      </c>
      <c r="H93" s="108">
        <f>6.9*G93</f>
        <v>207</v>
      </c>
      <c r="I93" s="107">
        <v>30</v>
      </c>
      <c r="J93" s="108">
        <f>6.9*I93</f>
        <v>207</v>
      </c>
      <c r="K93" s="107">
        <v>30</v>
      </c>
      <c r="L93" s="108">
        <f>6.9*K93</f>
        <v>207</v>
      </c>
      <c r="M93" s="107">
        <v>30</v>
      </c>
      <c r="N93" s="108">
        <f>6.9*M93</f>
        <v>207</v>
      </c>
      <c r="O93" s="107">
        <v>30</v>
      </c>
      <c r="P93" s="108">
        <f>6.9*O93</f>
        <v>207</v>
      </c>
      <c r="Q93" s="107">
        <v>30</v>
      </c>
      <c r="R93" s="108">
        <f>6.9*Q93</f>
        <v>207</v>
      </c>
      <c r="S93" s="107">
        <v>30</v>
      </c>
      <c r="T93" s="108">
        <f>6.9*S93</f>
        <v>207</v>
      </c>
      <c r="U93" s="107">
        <v>30</v>
      </c>
      <c r="V93" s="108">
        <f>6.9*U93</f>
        <v>207</v>
      </c>
      <c r="W93" s="107">
        <v>30</v>
      </c>
      <c r="X93" s="108">
        <f>6.9*W93</f>
        <v>207</v>
      </c>
      <c r="Y93" s="107">
        <v>30</v>
      </c>
      <c r="Z93" s="108">
        <f>6.9*Y93</f>
        <v>207</v>
      </c>
      <c r="AA93" s="107">
        <v>30</v>
      </c>
      <c r="AB93" s="108">
        <f>6.9*AA93</f>
        <v>207</v>
      </c>
      <c r="AC93" s="107">
        <v>30</v>
      </c>
      <c r="AD93" s="108">
        <f>6.9*AC93</f>
        <v>207</v>
      </c>
      <c r="AE93" s="130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</row>
    <row r="94" spans="1:194" s="95" customFormat="1" ht="12.75" x14ac:dyDescent="0.2">
      <c r="A94" s="98"/>
      <c r="B94" s="99"/>
      <c r="C94" s="102" t="s">
        <v>224</v>
      </c>
      <c r="D94" s="103">
        <f t="shared" si="61"/>
        <v>60</v>
      </c>
      <c r="E94" s="104" t="s">
        <v>35</v>
      </c>
      <c r="F94" s="105">
        <f>34.48*D94</f>
        <v>2068.7999999999997</v>
      </c>
      <c r="G94" s="107">
        <v>5</v>
      </c>
      <c r="H94" s="108">
        <f>34.48*G94</f>
        <v>172.39999999999998</v>
      </c>
      <c r="I94" s="107">
        <v>5</v>
      </c>
      <c r="J94" s="108">
        <f>34.48*I94</f>
        <v>172.39999999999998</v>
      </c>
      <c r="K94" s="107">
        <v>5</v>
      </c>
      <c r="L94" s="108">
        <f>34.48*K94</f>
        <v>172.39999999999998</v>
      </c>
      <c r="M94" s="107">
        <v>5</v>
      </c>
      <c r="N94" s="108">
        <f>34.48*M94</f>
        <v>172.39999999999998</v>
      </c>
      <c r="O94" s="107">
        <v>5</v>
      </c>
      <c r="P94" s="108">
        <f>34.48*O94</f>
        <v>172.39999999999998</v>
      </c>
      <c r="Q94" s="107">
        <v>5</v>
      </c>
      <c r="R94" s="108">
        <f>34.48*Q94</f>
        <v>172.39999999999998</v>
      </c>
      <c r="S94" s="107">
        <v>5</v>
      </c>
      <c r="T94" s="108">
        <f>34.48*S94</f>
        <v>172.39999999999998</v>
      </c>
      <c r="U94" s="107">
        <v>5</v>
      </c>
      <c r="V94" s="108">
        <f>34.48*U94</f>
        <v>172.39999999999998</v>
      </c>
      <c r="W94" s="107">
        <v>5</v>
      </c>
      <c r="X94" s="108">
        <f>34.48*W94</f>
        <v>172.39999999999998</v>
      </c>
      <c r="Y94" s="107">
        <v>5</v>
      </c>
      <c r="Z94" s="108">
        <f>34.48*Y94</f>
        <v>172.39999999999998</v>
      </c>
      <c r="AA94" s="107">
        <v>5</v>
      </c>
      <c r="AB94" s="108">
        <f>34.48*AA94</f>
        <v>172.39999999999998</v>
      </c>
      <c r="AC94" s="107">
        <v>5</v>
      </c>
      <c r="AD94" s="108">
        <f>34.48*AC94</f>
        <v>172.39999999999998</v>
      </c>
      <c r="AE94" s="130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</row>
    <row r="95" spans="1:194" s="95" customFormat="1" ht="12.75" x14ac:dyDescent="0.2">
      <c r="A95" s="98"/>
      <c r="B95" s="99"/>
      <c r="C95" s="102" t="s">
        <v>225</v>
      </c>
      <c r="D95" s="103">
        <f t="shared" si="61"/>
        <v>4</v>
      </c>
      <c r="E95" s="104" t="s">
        <v>35</v>
      </c>
      <c r="F95" s="112">
        <f>91*D95</f>
        <v>364</v>
      </c>
      <c r="G95" s="107">
        <v>1</v>
      </c>
      <c r="H95" s="108">
        <f>91*G95</f>
        <v>91</v>
      </c>
      <c r="I95" s="107">
        <v>0</v>
      </c>
      <c r="J95" s="108">
        <f>91*I95</f>
        <v>0</v>
      </c>
      <c r="K95" s="107">
        <v>0</v>
      </c>
      <c r="L95" s="108">
        <f>91*K95</f>
        <v>0</v>
      </c>
      <c r="M95" s="107">
        <v>1</v>
      </c>
      <c r="N95" s="108">
        <f>91*M95</f>
        <v>91</v>
      </c>
      <c r="O95" s="107">
        <v>0</v>
      </c>
      <c r="P95" s="108">
        <f>91*O95</f>
        <v>0</v>
      </c>
      <c r="Q95" s="107">
        <v>0</v>
      </c>
      <c r="R95" s="108">
        <f>91*Q95</f>
        <v>0</v>
      </c>
      <c r="S95" s="107">
        <v>1</v>
      </c>
      <c r="T95" s="108">
        <f>91*S95</f>
        <v>91</v>
      </c>
      <c r="U95" s="107">
        <v>0</v>
      </c>
      <c r="V95" s="108">
        <f>91*U95</f>
        <v>0</v>
      </c>
      <c r="W95" s="107">
        <v>0</v>
      </c>
      <c r="X95" s="108">
        <f>91*W95</f>
        <v>0</v>
      </c>
      <c r="Y95" s="107">
        <v>1</v>
      </c>
      <c r="Z95" s="108">
        <f>91*Y95</f>
        <v>91</v>
      </c>
      <c r="AA95" s="107">
        <v>0</v>
      </c>
      <c r="AB95" s="108">
        <f>91*AA95</f>
        <v>0</v>
      </c>
      <c r="AC95" s="107">
        <v>0</v>
      </c>
      <c r="AD95" s="108">
        <f>91*AC95</f>
        <v>0</v>
      </c>
      <c r="AE95" s="130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</row>
    <row r="96" spans="1:194" s="95" customFormat="1" ht="12.75" x14ac:dyDescent="0.2">
      <c r="A96" s="98"/>
      <c r="B96" s="99"/>
      <c r="C96" s="102" t="s">
        <v>226</v>
      </c>
      <c r="D96" s="103">
        <f t="shared" si="61"/>
        <v>28</v>
      </c>
      <c r="E96" s="104" t="s">
        <v>35</v>
      </c>
      <c r="F96" s="105">
        <f>23.41*D96</f>
        <v>655.48</v>
      </c>
      <c r="G96" s="107">
        <v>7</v>
      </c>
      <c r="H96" s="108">
        <f>23.41*G96</f>
        <v>163.87</v>
      </c>
      <c r="I96" s="107">
        <v>0</v>
      </c>
      <c r="J96" s="108">
        <f>23.41*I96</f>
        <v>0</v>
      </c>
      <c r="K96" s="107">
        <v>0</v>
      </c>
      <c r="L96" s="108">
        <f>23.41*K96</f>
        <v>0</v>
      </c>
      <c r="M96" s="107">
        <v>7</v>
      </c>
      <c r="N96" s="108">
        <f>23.41*M96</f>
        <v>163.87</v>
      </c>
      <c r="O96" s="107">
        <v>0</v>
      </c>
      <c r="P96" s="108">
        <f>23.41*O96</f>
        <v>0</v>
      </c>
      <c r="Q96" s="107">
        <v>0</v>
      </c>
      <c r="R96" s="108">
        <f>23.41*Q96</f>
        <v>0</v>
      </c>
      <c r="S96" s="107">
        <v>7</v>
      </c>
      <c r="T96" s="108">
        <f>23.41*S96</f>
        <v>163.87</v>
      </c>
      <c r="U96" s="107">
        <v>0</v>
      </c>
      <c r="V96" s="108">
        <f>23.41*U96</f>
        <v>0</v>
      </c>
      <c r="W96" s="107">
        <v>0</v>
      </c>
      <c r="X96" s="108">
        <f>23.41*W96</f>
        <v>0</v>
      </c>
      <c r="Y96" s="107">
        <v>7</v>
      </c>
      <c r="Z96" s="108">
        <f>23.41*Y96</f>
        <v>163.87</v>
      </c>
      <c r="AA96" s="107">
        <v>0</v>
      </c>
      <c r="AB96" s="108">
        <f>23.41*AA96</f>
        <v>0</v>
      </c>
      <c r="AC96" s="107">
        <v>0</v>
      </c>
      <c r="AD96" s="108">
        <f>23.41*AC96</f>
        <v>0</v>
      </c>
      <c r="AE96" s="130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</row>
    <row r="97" spans="1:194" s="95" customFormat="1" ht="27" customHeight="1" x14ac:dyDescent="0.2">
      <c r="A97" s="98"/>
      <c r="B97" s="99"/>
      <c r="C97" s="102" t="s">
        <v>227</v>
      </c>
      <c r="D97" s="103">
        <f t="shared" si="61"/>
        <v>14</v>
      </c>
      <c r="E97" s="104" t="s">
        <v>35</v>
      </c>
      <c r="F97" s="105">
        <f>32.5*D97</f>
        <v>455</v>
      </c>
      <c r="G97" s="107">
        <v>7</v>
      </c>
      <c r="H97" s="108">
        <f>32.5*G97</f>
        <v>227.5</v>
      </c>
      <c r="I97" s="107">
        <v>0</v>
      </c>
      <c r="J97" s="108">
        <f>32.5*I97</f>
        <v>0</v>
      </c>
      <c r="K97" s="107">
        <v>0</v>
      </c>
      <c r="L97" s="108">
        <f>32.5*K97</f>
        <v>0</v>
      </c>
      <c r="M97" s="107">
        <v>0</v>
      </c>
      <c r="N97" s="108">
        <f>32.5*M97</f>
        <v>0</v>
      </c>
      <c r="O97" s="107">
        <v>0</v>
      </c>
      <c r="P97" s="108">
        <f>32.5*O97</f>
        <v>0</v>
      </c>
      <c r="Q97" s="107">
        <v>0</v>
      </c>
      <c r="R97" s="108">
        <f>32.5*Q97</f>
        <v>0</v>
      </c>
      <c r="S97" s="107">
        <v>7</v>
      </c>
      <c r="T97" s="108">
        <f>32.5*S97</f>
        <v>227.5</v>
      </c>
      <c r="U97" s="107">
        <v>0</v>
      </c>
      <c r="V97" s="108">
        <f>32.5*U97</f>
        <v>0</v>
      </c>
      <c r="W97" s="107">
        <v>0</v>
      </c>
      <c r="X97" s="108">
        <f>32.5*W97</f>
        <v>0</v>
      </c>
      <c r="Y97" s="107">
        <v>0</v>
      </c>
      <c r="Z97" s="108">
        <f>32.5*Y97</f>
        <v>0</v>
      </c>
      <c r="AA97" s="107">
        <v>0</v>
      </c>
      <c r="AB97" s="108">
        <f>32.5*AA97</f>
        <v>0</v>
      </c>
      <c r="AC97" s="107">
        <v>0</v>
      </c>
      <c r="AD97" s="108">
        <f>32.5*AC97</f>
        <v>0</v>
      </c>
      <c r="AE97" s="130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</row>
    <row r="98" spans="1:194" s="95" customFormat="1" ht="12.75" x14ac:dyDescent="0.2">
      <c r="A98" s="98"/>
      <c r="B98" s="99"/>
      <c r="C98" s="102" t="s">
        <v>228</v>
      </c>
      <c r="D98" s="103">
        <f t="shared" si="61"/>
        <v>60</v>
      </c>
      <c r="E98" s="104" t="s">
        <v>35</v>
      </c>
      <c r="F98" s="105">
        <f>26*D98</f>
        <v>1560</v>
      </c>
      <c r="G98" s="107">
        <v>5</v>
      </c>
      <c r="H98" s="108">
        <f>26*G98</f>
        <v>130</v>
      </c>
      <c r="I98" s="107">
        <v>5</v>
      </c>
      <c r="J98" s="108">
        <f>26*I98</f>
        <v>130</v>
      </c>
      <c r="K98" s="107">
        <v>5</v>
      </c>
      <c r="L98" s="108">
        <f>26*K98</f>
        <v>130</v>
      </c>
      <c r="M98" s="107">
        <v>5</v>
      </c>
      <c r="N98" s="108">
        <f>26*M98</f>
        <v>130</v>
      </c>
      <c r="O98" s="107">
        <v>5</v>
      </c>
      <c r="P98" s="108">
        <f>26*O98</f>
        <v>130</v>
      </c>
      <c r="Q98" s="107">
        <v>5</v>
      </c>
      <c r="R98" s="108">
        <f>26*Q98</f>
        <v>130</v>
      </c>
      <c r="S98" s="107">
        <v>5</v>
      </c>
      <c r="T98" s="108">
        <f>26*S98</f>
        <v>130</v>
      </c>
      <c r="U98" s="107">
        <v>5</v>
      </c>
      <c r="V98" s="108">
        <f>26*U98</f>
        <v>130</v>
      </c>
      <c r="W98" s="107">
        <v>5</v>
      </c>
      <c r="X98" s="108">
        <f>26*W98</f>
        <v>130</v>
      </c>
      <c r="Y98" s="107">
        <v>5</v>
      </c>
      <c r="Z98" s="108">
        <f>26*Y98</f>
        <v>130</v>
      </c>
      <c r="AA98" s="107">
        <v>5</v>
      </c>
      <c r="AB98" s="108">
        <f>26*AA98</f>
        <v>130</v>
      </c>
      <c r="AC98" s="107">
        <v>5</v>
      </c>
      <c r="AD98" s="108">
        <f>26*AC98</f>
        <v>130</v>
      </c>
      <c r="AE98" s="130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</row>
    <row r="99" spans="1:194" ht="11.25" customHeight="1" x14ac:dyDescent="0.2">
      <c r="B99" s="19">
        <v>2200</v>
      </c>
      <c r="C99" s="84" t="s">
        <v>45</v>
      </c>
      <c r="D99" s="28"/>
      <c r="E99" s="44"/>
      <c r="F99" s="23"/>
      <c r="G99" s="37"/>
      <c r="H99" s="23"/>
      <c r="I99" s="37"/>
      <c r="J99" s="23"/>
      <c r="K99" s="37"/>
      <c r="L99" s="23"/>
      <c r="M99" s="37"/>
      <c r="N99" s="23"/>
      <c r="O99" s="37"/>
      <c r="P99" s="23"/>
      <c r="Q99" s="37"/>
      <c r="R99" s="23"/>
      <c r="S99" s="37"/>
      <c r="T99" s="23"/>
      <c r="U99" s="37"/>
      <c r="V99" s="23"/>
      <c r="W99" s="37"/>
      <c r="X99" s="23"/>
      <c r="Y99" s="37"/>
      <c r="Z99" s="23"/>
      <c r="AA99" s="37"/>
      <c r="AB99" s="23"/>
      <c r="AC99" s="37"/>
      <c r="AD99" s="23"/>
      <c r="AE99" s="130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</row>
    <row r="100" spans="1:194" ht="13.5" customHeight="1" x14ac:dyDescent="0.2">
      <c r="B100" s="24">
        <v>221</v>
      </c>
      <c r="C100" s="20" t="s">
        <v>46</v>
      </c>
      <c r="D100" s="34"/>
      <c r="E100" s="19"/>
      <c r="F100" s="25"/>
      <c r="G100" s="39"/>
      <c r="H100" s="25"/>
      <c r="I100" s="40"/>
      <c r="J100" s="25"/>
      <c r="K100" s="40"/>
      <c r="L100" s="25"/>
      <c r="M100" s="40"/>
      <c r="N100" s="25"/>
      <c r="O100" s="40"/>
      <c r="P100" s="25"/>
      <c r="Q100" s="40"/>
      <c r="R100" s="25"/>
      <c r="S100" s="40"/>
      <c r="T100" s="25"/>
      <c r="U100" s="40"/>
      <c r="V100" s="25"/>
      <c r="W100" s="40"/>
      <c r="X100" s="25"/>
      <c r="Y100" s="40"/>
      <c r="Z100" s="25"/>
      <c r="AA100" s="40"/>
      <c r="AB100" s="25"/>
      <c r="AC100" s="40"/>
      <c r="AD100" s="25"/>
      <c r="AE100" s="130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</row>
    <row r="101" spans="1:194" ht="13.5" customHeight="1" x14ac:dyDescent="0.2">
      <c r="A101" s="90"/>
      <c r="B101" s="36"/>
      <c r="C101" s="102" t="s">
        <v>140</v>
      </c>
      <c r="D101" s="109">
        <v>52000</v>
      </c>
      <c r="E101" s="104" t="s">
        <v>142</v>
      </c>
      <c r="F101" s="35"/>
      <c r="G101" s="42"/>
      <c r="H101" s="36"/>
      <c r="I101" s="42"/>
      <c r="J101" s="36"/>
      <c r="K101" s="42"/>
      <c r="L101" s="36"/>
      <c r="M101" s="42"/>
      <c r="N101" s="36"/>
      <c r="O101" s="42"/>
      <c r="P101" s="36"/>
      <c r="Q101" s="42"/>
      <c r="R101" s="36"/>
      <c r="S101" s="42"/>
      <c r="T101" s="36"/>
      <c r="U101" s="42"/>
      <c r="V101" s="36"/>
      <c r="W101" s="42"/>
      <c r="X101" s="36"/>
      <c r="Y101" s="42"/>
      <c r="Z101" s="36"/>
      <c r="AA101" s="42"/>
      <c r="AB101" s="36"/>
      <c r="AC101" s="42"/>
      <c r="AD101" s="36"/>
      <c r="AE101" s="130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</row>
    <row r="102" spans="1:194" ht="13.5" customHeight="1" x14ac:dyDescent="0.2">
      <c r="A102" s="92"/>
      <c r="B102" s="27"/>
      <c r="C102" s="102" t="s">
        <v>281</v>
      </c>
      <c r="D102" s="109">
        <v>3000</v>
      </c>
      <c r="E102" s="104" t="s">
        <v>169</v>
      </c>
      <c r="F102" s="35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130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</row>
    <row r="103" spans="1:194" ht="13.5" customHeight="1" x14ac:dyDescent="0.2">
      <c r="A103" s="90"/>
      <c r="B103" s="31"/>
      <c r="C103" s="83"/>
      <c r="D103" s="34"/>
      <c r="E103" s="33"/>
      <c r="F103" s="35"/>
      <c r="G103" s="32"/>
      <c r="H103" s="31"/>
      <c r="I103" s="32"/>
      <c r="J103" s="31"/>
      <c r="K103" s="32"/>
      <c r="L103" s="31"/>
      <c r="M103" s="32"/>
      <c r="N103" s="31"/>
      <c r="O103" s="32"/>
      <c r="P103" s="31"/>
      <c r="Q103" s="32"/>
      <c r="R103" s="31"/>
      <c r="S103" s="32"/>
      <c r="T103" s="31"/>
      <c r="U103" s="32"/>
      <c r="V103" s="31"/>
      <c r="W103" s="32"/>
      <c r="X103" s="31"/>
      <c r="Y103" s="32"/>
      <c r="Z103" s="31"/>
      <c r="AA103" s="32"/>
      <c r="AB103" s="31"/>
      <c r="AC103" s="32"/>
      <c r="AD103" s="31"/>
      <c r="AE103" s="130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</row>
    <row r="104" spans="1:194" ht="24" customHeight="1" x14ac:dyDescent="0.2">
      <c r="B104" s="19">
        <v>2400</v>
      </c>
      <c r="C104" s="20" t="s">
        <v>47</v>
      </c>
      <c r="D104" s="28"/>
      <c r="E104" s="22"/>
      <c r="F104" s="23"/>
      <c r="G104" s="37"/>
      <c r="H104" s="23"/>
      <c r="I104" s="37"/>
      <c r="J104" s="23"/>
      <c r="K104" s="37"/>
      <c r="L104" s="23"/>
      <c r="M104" s="37"/>
      <c r="N104" s="23"/>
      <c r="O104" s="37"/>
      <c r="P104" s="23"/>
      <c r="Q104" s="37"/>
      <c r="R104" s="23"/>
      <c r="S104" s="37"/>
      <c r="T104" s="23"/>
      <c r="U104" s="37"/>
      <c r="V104" s="23"/>
      <c r="W104" s="37"/>
      <c r="X104" s="23"/>
      <c r="Y104" s="25"/>
      <c r="Z104" s="23"/>
      <c r="AA104" s="37"/>
      <c r="AB104" s="23"/>
      <c r="AC104" s="37"/>
      <c r="AD104" s="23"/>
      <c r="AE104" s="130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</row>
    <row r="105" spans="1:194" ht="14.25" customHeight="1" x14ac:dyDescent="0.2">
      <c r="B105" s="24">
        <v>241</v>
      </c>
      <c r="C105" s="20" t="s">
        <v>48</v>
      </c>
      <c r="D105" s="28"/>
      <c r="E105" s="19"/>
      <c r="F105" s="25"/>
      <c r="G105" s="37"/>
      <c r="H105" s="25"/>
      <c r="I105" s="23"/>
      <c r="J105" s="25"/>
      <c r="K105" s="23"/>
      <c r="L105" s="25"/>
      <c r="M105" s="23"/>
      <c r="N105" s="25"/>
      <c r="O105" s="23"/>
      <c r="P105" s="25"/>
      <c r="Q105" s="23"/>
      <c r="R105" s="25"/>
      <c r="S105" s="23"/>
      <c r="T105" s="25"/>
      <c r="U105" s="23"/>
      <c r="V105" s="25"/>
      <c r="W105" s="23"/>
      <c r="X105" s="25"/>
      <c r="Y105" s="23"/>
      <c r="Z105" s="25"/>
      <c r="AA105" s="23"/>
      <c r="AB105" s="25"/>
      <c r="AC105" s="23"/>
      <c r="AD105" s="25"/>
      <c r="AE105" s="130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98"/>
      <c r="GF105" s="98"/>
      <c r="GG105" s="98"/>
      <c r="GH105" s="98"/>
      <c r="GI105" s="98"/>
      <c r="GJ105" s="98"/>
      <c r="GK105" s="98"/>
      <c r="GL105" s="98"/>
    </row>
    <row r="106" spans="1:194" ht="12" customHeight="1" x14ac:dyDescent="0.2">
      <c r="B106" s="24"/>
      <c r="C106" s="83" t="s">
        <v>150</v>
      </c>
      <c r="D106" s="28"/>
      <c r="E106" s="33"/>
      <c r="F106" s="30"/>
      <c r="G106" s="32"/>
      <c r="H106" s="31"/>
      <c r="I106" s="32"/>
      <c r="J106" s="31"/>
      <c r="K106" s="32"/>
      <c r="L106" s="31"/>
      <c r="M106" s="32"/>
      <c r="N106" s="31"/>
      <c r="O106" s="32"/>
      <c r="P106" s="31"/>
      <c r="Q106" s="32"/>
      <c r="R106" s="31"/>
      <c r="S106" s="32"/>
      <c r="T106" s="31"/>
      <c r="U106" s="32"/>
      <c r="V106" s="31"/>
      <c r="W106" s="32"/>
      <c r="X106" s="31"/>
      <c r="Y106" s="32"/>
      <c r="Z106" s="31"/>
      <c r="AA106" s="32"/>
      <c r="AB106" s="31"/>
      <c r="AC106" s="32"/>
      <c r="AD106" s="31"/>
      <c r="AE106" s="130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</row>
    <row r="107" spans="1:194" ht="16.5" customHeight="1" x14ac:dyDescent="0.2">
      <c r="B107" s="24">
        <v>242</v>
      </c>
      <c r="C107" s="20" t="s">
        <v>49</v>
      </c>
      <c r="D107" s="28"/>
      <c r="E107" s="19"/>
      <c r="F107" s="25"/>
      <c r="G107" s="37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30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</row>
    <row r="108" spans="1:194" ht="13.5" customHeight="1" x14ac:dyDescent="0.2">
      <c r="B108" s="24"/>
      <c r="C108" s="83" t="s">
        <v>171</v>
      </c>
      <c r="D108" s="28"/>
      <c r="E108" s="33"/>
      <c r="F108" s="35"/>
      <c r="G108" s="42"/>
      <c r="H108" s="36"/>
      <c r="I108" s="42"/>
      <c r="J108" s="36"/>
      <c r="K108" s="42"/>
      <c r="L108" s="36"/>
      <c r="M108" s="42"/>
      <c r="N108" s="36"/>
      <c r="O108" s="42"/>
      <c r="P108" s="36"/>
      <c r="Q108" s="42"/>
      <c r="R108" s="36"/>
      <c r="S108" s="42"/>
      <c r="T108" s="36"/>
      <c r="U108" s="42"/>
      <c r="V108" s="36"/>
      <c r="W108" s="42"/>
      <c r="X108" s="36"/>
      <c r="Y108" s="42"/>
      <c r="Z108" s="36"/>
      <c r="AA108" s="42"/>
      <c r="AB108" s="36"/>
      <c r="AC108" s="42"/>
      <c r="AD108" s="36"/>
      <c r="AE108" s="130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</row>
    <row r="109" spans="1:194" ht="13.5" customHeight="1" x14ac:dyDescent="0.2">
      <c r="B109" s="43">
        <v>243</v>
      </c>
      <c r="C109" s="13" t="s">
        <v>50</v>
      </c>
      <c r="D109" s="28"/>
      <c r="E109" s="14"/>
      <c r="F109" s="25"/>
      <c r="G109" s="45"/>
      <c r="H109" s="25"/>
      <c r="I109" s="46"/>
      <c r="J109" s="25"/>
      <c r="K109" s="46"/>
      <c r="L109" s="25"/>
      <c r="M109" s="46"/>
      <c r="N109" s="25"/>
      <c r="O109" s="46"/>
      <c r="P109" s="25"/>
      <c r="Q109" s="46"/>
      <c r="R109" s="25"/>
      <c r="S109" s="46"/>
      <c r="T109" s="25"/>
      <c r="U109" s="46"/>
      <c r="V109" s="25"/>
      <c r="W109" s="46"/>
      <c r="X109" s="25"/>
      <c r="Y109" s="46"/>
      <c r="Z109" s="25"/>
      <c r="AA109" s="46"/>
      <c r="AB109" s="25"/>
      <c r="AC109" s="46"/>
      <c r="AD109" s="25"/>
      <c r="AE109" s="130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</row>
    <row r="110" spans="1:194" ht="13.5" customHeight="1" x14ac:dyDescent="0.2">
      <c r="B110" s="24"/>
      <c r="C110" s="83" t="s">
        <v>51</v>
      </c>
      <c r="D110" s="28"/>
      <c r="E110" s="33"/>
      <c r="F110" s="35"/>
      <c r="G110" s="42"/>
      <c r="H110" s="36"/>
      <c r="I110" s="42"/>
      <c r="J110" s="36"/>
      <c r="K110" s="42"/>
      <c r="L110" s="36"/>
      <c r="M110" s="42"/>
      <c r="N110" s="36"/>
      <c r="O110" s="42"/>
      <c r="P110" s="36"/>
      <c r="Q110" s="42"/>
      <c r="R110" s="36"/>
      <c r="S110" s="42"/>
      <c r="T110" s="36"/>
      <c r="U110" s="42"/>
      <c r="V110" s="36"/>
      <c r="W110" s="42"/>
      <c r="X110" s="36"/>
      <c r="Y110" s="42"/>
      <c r="Z110" s="36"/>
      <c r="AA110" s="42"/>
      <c r="AB110" s="36"/>
      <c r="AC110" s="42"/>
      <c r="AD110" s="36"/>
      <c r="AE110" s="130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</row>
    <row r="111" spans="1:194" ht="15" customHeight="1" x14ac:dyDescent="0.2">
      <c r="B111" s="24">
        <v>244</v>
      </c>
      <c r="C111" s="20" t="s">
        <v>52</v>
      </c>
      <c r="D111" s="28"/>
      <c r="E111" s="19"/>
      <c r="F111" s="25"/>
      <c r="G111" s="37"/>
      <c r="H111" s="25"/>
      <c r="I111" s="37"/>
      <c r="J111" s="25"/>
      <c r="K111" s="37"/>
      <c r="L111" s="25"/>
      <c r="M111" s="37"/>
      <c r="N111" s="25"/>
      <c r="O111" s="37"/>
      <c r="P111" s="25"/>
      <c r="Q111" s="37"/>
      <c r="R111" s="25"/>
      <c r="S111" s="37"/>
      <c r="T111" s="25"/>
      <c r="U111" s="37"/>
      <c r="V111" s="25"/>
      <c r="W111" s="37"/>
      <c r="X111" s="25"/>
      <c r="Y111" s="37"/>
      <c r="Z111" s="25"/>
      <c r="AA111" s="37"/>
      <c r="AB111" s="25"/>
      <c r="AC111" s="37"/>
      <c r="AD111" s="25"/>
      <c r="AE111" s="130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</row>
    <row r="112" spans="1:194" ht="14.25" customHeight="1" x14ac:dyDescent="0.2">
      <c r="B112" s="24"/>
      <c r="C112" s="83" t="s">
        <v>53</v>
      </c>
      <c r="D112" s="28"/>
      <c r="E112" s="33"/>
      <c r="F112" s="35"/>
      <c r="G112" s="32"/>
      <c r="H112" s="31"/>
      <c r="I112" s="32"/>
      <c r="J112" s="31"/>
      <c r="K112" s="32"/>
      <c r="L112" s="31"/>
      <c r="M112" s="32"/>
      <c r="N112" s="31"/>
      <c r="O112" s="32"/>
      <c r="P112" s="31"/>
      <c r="Q112" s="32"/>
      <c r="R112" s="31"/>
      <c r="S112" s="32"/>
      <c r="T112" s="31"/>
      <c r="U112" s="32"/>
      <c r="V112" s="31"/>
      <c r="W112" s="32"/>
      <c r="X112" s="31"/>
      <c r="Y112" s="32"/>
      <c r="Z112" s="31"/>
      <c r="AA112" s="32"/>
      <c r="AB112" s="31"/>
      <c r="AC112" s="32"/>
      <c r="AD112" s="31"/>
      <c r="AE112" s="130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</row>
    <row r="113" spans="1:194" ht="12" customHeight="1" x14ac:dyDescent="0.2">
      <c r="B113" s="24">
        <v>245</v>
      </c>
      <c r="C113" s="20" t="s">
        <v>54</v>
      </c>
      <c r="D113" s="34"/>
      <c r="E113" s="19"/>
      <c r="F113" s="25"/>
      <c r="G113" s="39"/>
      <c r="H113" s="25"/>
      <c r="I113" s="40"/>
      <c r="J113" s="25"/>
      <c r="K113" s="40"/>
      <c r="L113" s="25"/>
      <c r="M113" s="40"/>
      <c r="N113" s="25"/>
      <c r="O113" s="40"/>
      <c r="P113" s="25"/>
      <c r="Q113" s="40"/>
      <c r="R113" s="25"/>
      <c r="S113" s="40"/>
      <c r="T113" s="25"/>
      <c r="U113" s="40"/>
      <c r="V113" s="25"/>
      <c r="W113" s="40"/>
      <c r="X113" s="25"/>
      <c r="Y113" s="40"/>
      <c r="Z113" s="25"/>
      <c r="AA113" s="40"/>
      <c r="AB113" s="25"/>
      <c r="AC113" s="40"/>
      <c r="AD113" s="25"/>
      <c r="AE113" s="130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</row>
    <row r="114" spans="1:194" ht="12.75" customHeight="1" x14ac:dyDescent="0.2">
      <c r="B114" s="24"/>
      <c r="C114" s="83" t="s">
        <v>141</v>
      </c>
      <c r="D114" s="34"/>
      <c r="E114" s="33"/>
      <c r="F114" s="35"/>
      <c r="G114" s="42"/>
      <c r="H114" s="36"/>
      <c r="I114" s="42"/>
      <c r="J114" s="36"/>
      <c r="K114" s="42"/>
      <c r="L114" s="36"/>
      <c r="M114" s="42"/>
      <c r="N114" s="36"/>
      <c r="O114" s="42"/>
      <c r="P114" s="36"/>
      <c r="Q114" s="42"/>
      <c r="R114" s="36"/>
      <c r="S114" s="42"/>
      <c r="T114" s="36"/>
      <c r="U114" s="42"/>
      <c r="V114" s="36"/>
      <c r="W114" s="42"/>
      <c r="X114" s="36"/>
      <c r="Y114" s="42"/>
      <c r="Z114" s="36"/>
      <c r="AA114" s="42"/>
      <c r="AB114" s="36"/>
      <c r="AC114" s="42"/>
      <c r="AD114" s="36"/>
      <c r="AE114" s="130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</row>
    <row r="115" spans="1:194" ht="15" customHeight="1" x14ac:dyDescent="0.2">
      <c r="B115" s="24">
        <v>248</v>
      </c>
      <c r="C115" s="85" t="s">
        <v>55</v>
      </c>
      <c r="D115" s="28"/>
      <c r="E115" s="19"/>
      <c r="F115" s="25"/>
      <c r="G115" s="37"/>
      <c r="H115" s="25"/>
      <c r="I115" s="26"/>
      <c r="J115" s="25"/>
      <c r="K115" s="26"/>
      <c r="L115" s="25"/>
      <c r="M115" s="26"/>
      <c r="N115" s="25"/>
      <c r="O115" s="26"/>
      <c r="P115" s="25"/>
      <c r="Q115" s="26"/>
      <c r="R115" s="25"/>
      <c r="S115" s="26"/>
      <c r="T115" s="25"/>
      <c r="U115" s="26"/>
      <c r="V115" s="25"/>
      <c r="W115" s="26"/>
      <c r="X115" s="25"/>
      <c r="Y115" s="26"/>
      <c r="Z115" s="25"/>
      <c r="AA115" s="26"/>
      <c r="AB115" s="25"/>
      <c r="AC115" s="26"/>
      <c r="AD115" s="25"/>
      <c r="AE115" s="130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</row>
    <row r="116" spans="1:194" ht="12" customHeight="1" x14ac:dyDescent="0.2">
      <c r="B116" s="24"/>
      <c r="C116" s="83" t="s">
        <v>68</v>
      </c>
      <c r="D116" s="34"/>
      <c r="E116" s="33"/>
      <c r="F116" s="30"/>
      <c r="G116" s="32"/>
      <c r="H116" s="31"/>
      <c r="I116" s="42"/>
      <c r="J116" s="36"/>
      <c r="K116" s="32"/>
      <c r="L116" s="31"/>
      <c r="M116" s="42"/>
      <c r="N116" s="36"/>
      <c r="O116" s="32"/>
      <c r="P116" s="31"/>
      <c r="Q116" s="32"/>
      <c r="R116" s="31"/>
      <c r="S116" s="32"/>
      <c r="T116" s="31"/>
      <c r="U116" s="42"/>
      <c r="V116" s="36"/>
      <c r="W116" s="32"/>
      <c r="X116" s="31"/>
      <c r="Y116" s="32"/>
      <c r="Z116" s="31"/>
      <c r="AA116" s="32"/>
      <c r="AB116" s="31"/>
      <c r="AC116" s="32"/>
      <c r="AD116" s="31"/>
      <c r="AE116" s="130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8"/>
      <c r="GA116" s="98"/>
      <c r="GB116" s="98"/>
      <c r="GC116" s="98"/>
      <c r="GD116" s="98"/>
      <c r="GE116" s="98"/>
      <c r="GF116" s="98"/>
      <c r="GG116" s="98"/>
      <c r="GH116" s="98"/>
      <c r="GI116" s="98"/>
      <c r="GJ116" s="98"/>
      <c r="GK116" s="98"/>
      <c r="GL116" s="98"/>
    </row>
    <row r="117" spans="1:194" ht="12" customHeight="1" x14ac:dyDescent="0.2">
      <c r="B117" s="24"/>
      <c r="C117" s="83" t="s">
        <v>172</v>
      </c>
      <c r="D117" s="34"/>
      <c r="E117" s="33"/>
      <c r="F117" s="30"/>
      <c r="G117" s="32"/>
      <c r="H117" s="31"/>
      <c r="I117" s="42"/>
      <c r="J117" s="36"/>
      <c r="K117" s="32"/>
      <c r="L117" s="31"/>
      <c r="M117" s="42"/>
      <c r="N117" s="36"/>
      <c r="O117" s="32"/>
      <c r="P117" s="31"/>
      <c r="Q117" s="32"/>
      <c r="R117" s="31"/>
      <c r="S117" s="32"/>
      <c r="T117" s="31"/>
      <c r="U117" s="42"/>
      <c r="V117" s="36"/>
      <c r="W117" s="32"/>
      <c r="X117" s="31"/>
      <c r="Y117" s="32"/>
      <c r="Z117" s="31"/>
      <c r="AA117" s="32"/>
      <c r="AB117" s="31"/>
      <c r="AC117" s="32"/>
      <c r="AD117" s="31"/>
      <c r="AE117" s="130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</row>
    <row r="118" spans="1:194" ht="12" customHeight="1" x14ac:dyDescent="0.2">
      <c r="B118" s="24"/>
      <c r="C118" s="83" t="s">
        <v>153</v>
      </c>
      <c r="D118" s="34"/>
      <c r="E118" s="33"/>
      <c r="F118" s="30"/>
      <c r="G118" s="32"/>
      <c r="H118" s="31"/>
      <c r="I118" s="42"/>
      <c r="J118" s="36"/>
      <c r="K118" s="32"/>
      <c r="L118" s="31"/>
      <c r="M118" s="32"/>
      <c r="N118" s="31"/>
      <c r="O118" s="32"/>
      <c r="P118" s="31"/>
      <c r="Q118" s="32"/>
      <c r="R118" s="31"/>
      <c r="S118" s="32"/>
      <c r="T118" s="31"/>
      <c r="U118" s="32"/>
      <c r="V118" s="31"/>
      <c r="W118" s="32"/>
      <c r="X118" s="31"/>
      <c r="Y118" s="32"/>
      <c r="Z118" s="31"/>
      <c r="AA118" s="32"/>
      <c r="AB118" s="31"/>
      <c r="AC118" s="32"/>
      <c r="AD118" s="31"/>
      <c r="AE118" s="130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</row>
    <row r="119" spans="1:194" ht="11.25" customHeight="1" x14ac:dyDescent="0.2">
      <c r="B119" s="24"/>
      <c r="C119" s="83" t="s">
        <v>73</v>
      </c>
      <c r="D119" s="34"/>
      <c r="E119" s="33"/>
      <c r="F119" s="30"/>
      <c r="G119" s="32"/>
      <c r="H119" s="31"/>
      <c r="I119" s="42"/>
      <c r="J119" s="36"/>
      <c r="K119" s="32"/>
      <c r="L119" s="31"/>
      <c r="M119" s="42"/>
      <c r="N119" s="36"/>
      <c r="O119" s="32"/>
      <c r="P119" s="31"/>
      <c r="Q119" s="32"/>
      <c r="R119" s="31"/>
      <c r="S119" s="32"/>
      <c r="T119" s="31"/>
      <c r="U119" s="42"/>
      <c r="V119" s="36"/>
      <c r="W119" s="32"/>
      <c r="X119" s="31"/>
      <c r="Y119" s="32"/>
      <c r="Z119" s="31"/>
      <c r="AA119" s="32"/>
      <c r="AB119" s="31"/>
      <c r="AC119" s="32"/>
      <c r="AD119" s="31"/>
      <c r="AE119" s="130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</row>
    <row r="120" spans="1:194" ht="11.25" customHeight="1" x14ac:dyDescent="0.2">
      <c r="B120" s="24"/>
      <c r="C120" s="83" t="s">
        <v>151</v>
      </c>
      <c r="D120" s="34"/>
      <c r="E120" s="33"/>
      <c r="F120" s="30"/>
      <c r="G120" s="32"/>
      <c r="H120" s="31"/>
      <c r="I120" s="32"/>
      <c r="J120" s="31"/>
      <c r="K120" s="32"/>
      <c r="L120" s="31"/>
      <c r="M120" s="32"/>
      <c r="N120" s="31"/>
      <c r="O120" s="32"/>
      <c r="P120" s="31"/>
      <c r="Q120" s="32"/>
      <c r="R120" s="31"/>
      <c r="S120" s="32"/>
      <c r="T120" s="31"/>
      <c r="U120" s="32"/>
      <c r="V120" s="31"/>
      <c r="W120" s="32"/>
      <c r="X120" s="31"/>
      <c r="Y120" s="32"/>
      <c r="Z120" s="31"/>
      <c r="AA120" s="32"/>
      <c r="AB120" s="31"/>
      <c r="AC120" s="32"/>
      <c r="AD120" s="31"/>
      <c r="AE120" s="130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</row>
    <row r="121" spans="1:194" ht="11.25" customHeight="1" x14ac:dyDescent="0.2">
      <c r="B121" s="24"/>
      <c r="C121" s="83" t="s">
        <v>154</v>
      </c>
      <c r="D121" s="34"/>
      <c r="E121" s="33"/>
      <c r="F121" s="30"/>
      <c r="G121" s="32"/>
      <c r="H121" s="31"/>
      <c r="I121" s="32"/>
      <c r="J121" s="31"/>
      <c r="K121" s="32"/>
      <c r="L121" s="31"/>
      <c r="M121" s="32"/>
      <c r="N121" s="31"/>
      <c r="O121" s="32"/>
      <c r="P121" s="31"/>
      <c r="Q121" s="32"/>
      <c r="R121" s="31"/>
      <c r="S121" s="32"/>
      <c r="T121" s="31"/>
      <c r="U121" s="32"/>
      <c r="V121" s="31"/>
      <c r="W121" s="32"/>
      <c r="X121" s="31"/>
      <c r="Y121" s="32"/>
      <c r="Z121" s="31"/>
      <c r="AA121" s="32"/>
      <c r="AB121" s="31"/>
      <c r="AC121" s="32"/>
      <c r="AD121" s="31"/>
      <c r="AE121" s="130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</row>
    <row r="122" spans="1:194" ht="12.75" customHeight="1" x14ac:dyDescent="0.2">
      <c r="B122" s="24"/>
      <c r="C122" s="83" t="s">
        <v>152</v>
      </c>
      <c r="D122" s="28"/>
      <c r="E122" s="33"/>
      <c r="F122" s="30"/>
      <c r="G122" s="32"/>
      <c r="H122" s="31"/>
      <c r="I122" s="32"/>
      <c r="J122" s="31"/>
      <c r="K122" s="32"/>
      <c r="L122" s="31"/>
      <c r="M122" s="32"/>
      <c r="N122" s="31"/>
      <c r="O122" s="32"/>
      <c r="P122" s="31"/>
      <c r="Q122" s="32"/>
      <c r="R122" s="31"/>
      <c r="S122" s="32"/>
      <c r="T122" s="31"/>
      <c r="U122" s="32"/>
      <c r="V122" s="31"/>
      <c r="W122" s="32"/>
      <c r="X122" s="31"/>
      <c r="Y122" s="32"/>
      <c r="Z122" s="31"/>
      <c r="AA122" s="32"/>
      <c r="AB122" s="31"/>
      <c r="AC122" s="32"/>
      <c r="AD122" s="31"/>
      <c r="AE122" s="130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8"/>
      <c r="GA122" s="98"/>
      <c r="GB122" s="98"/>
      <c r="GC122" s="98"/>
      <c r="GD122" s="98"/>
      <c r="GE122" s="98"/>
      <c r="GF122" s="98"/>
      <c r="GG122" s="98"/>
      <c r="GH122" s="98"/>
      <c r="GI122" s="98"/>
      <c r="GJ122" s="98"/>
      <c r="GK122" s="98"/>
      <c r="GL122" s="98"/>
    </row>
    <row r="123" spans="1:194" ht="14.25" customHeight="1" x14ac:dyDescent="0.2">
      <c r="B123" s="24"/>
      <c r="C123" s="83" t="s">
        <v>155</v>
      </c>
      <c r="D123" s="28"/>
      <c r="E123" s="33"/>
      <c r="F123" s="30"/>
      <c r="G123" s="32"/>
      <c r="H123" s="31"/>
      <c r="I123" s="32"/>
      <c r="J123" s="31"/>
      <c r="K123" s="32"/>
      <c r="L123" s="31"/>
      <c r="M123" s="32"/>
      <c r="N123" s="31"/>
      <c r="O123" s="32"/>
      <c r="P123" s="31"/>
      <c r="Q123" s="32"/>
      <c r="R123" s="31"/>
      <c r="S123" s="32"/>
      <c r="T123" s="31"/>
      <c r="U123" s="32"/>
      <c r="V123" s="31"/>
      <c r="W123" s="32"/>
      <c r="X123" s="31"/>
      <c r="Y123" s="32"/>
      <c r="Z123" s="31"/>
      <c r="AA123" s="32"/>
      <c r="AB123" s="31"/>
      <c r="AC123" s="32"/>
      <c r="AD123" s="31"/>
      <c r="AE123" s="130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</row>
    <row r="124" spans="1:194" ht="33.75" customHeight="1" x14ac:dyDescent="0.2">
      <c r="B124" s="19">
        <v>2500</v>
      </c>
      <c r="C124" s="20" t="s">
        <v>56</v>
      </c>
      <c r="D124" s="34"/>
      <c r="E124" s="19"/>
      <c r="F124" s="25">
        <f>SUM(F125:F127)</f>
        <v>13668.119999999999</v>
      </c>
      <c r="G124" s="25">
        <f t="shared" ref="G124:AD124" si="62">SUM(G125:G127)</f>
        <v>28</v>
      </c>
      <c r="H124" s="25">
        <f t="shared" si="62"/>
        <v>1099.1999999999998</v>
      </c>
      <c r="I124" s="25">
        <f t="shared" si="62"/>
        <v>28</v>
      </c>
      <c r="J124" s="25">
        <f t="shared" si="62"/>
        <v>1099.1999999999998</v>
      </c>
      <c r="K124" s="25">
        <f t="shared" si="62"/>
        <v>28</v>
      </c>
      <c r="L124" s="25">
        <f t="shared" si="62"/>
        <v>1099.1999999999998</v>
      </c>
      <c r="M124" s="25">
        <f t="shared" si="62"/>
        <v>28</v>
      </c>
      <c r="N124" s="25">
        <f t="shared" si="62"/>
        <v>1099.1999999999998</v>
      </c>
      <c r="O124" s="25">
        <f t="shared" si="62"/>
        <v>28</v>
      </c>
      <c r="P124" s="25">
        <f t="shared" si="62"/>
        <v>1099.1999999999998</v>
      </c>
      <c r="Q124" s="25">
        <f t="shared" si="62"/>
        <v>28</v>
      </c>
      <c r="R124" s="25">
        <f t="shared" si="62"/>
        <v>1099.1999999999998</v>
      </c>
      <c r="S124" s="25">
        <f t="shared" si="62"/>
        <v>28</v>
      </c>
      <c r="T124" s="25">
        <f t="shared" si="62"/>
        <v>1099.1999999999998</v>
      </c>
      <c r="U124" s="25">
        <f t="shared" si="62"/>
        <v>28</v>
      </c>
      <c r="V124" s="25">
        <f t="shared" si="62"/>
        <v>1099.1999999999998</v>
      </c>
      <c r="W124" s="25">
        <f t="shared" si="62"/>
        <v>32</v>
      </c>
      <c r="X124" s="25">
        <f t="shared" si="62"/>
        <v>1258.44</v>
      </c>
      <c r="Y124" s="25">
        <f t="shared" si="62"/>
        <v>32</v>
      </c>
      <c r="Z124" s="25">
        <f t="shared" si="62"/>
        <v>1258.44</v>
      </c>
      <c r="AA124" s="25">
        <f t="shared" si="62"/>
        <v>32</v>
      </c>
      <c r="AB124" s="25">
        <f t="shared" si="62"/>
        <v>1258.44</v>
      </c>
      <c r="AC124" s="25">
        <f t="shared" si="62"/>
        <v>28</v>
      </c>
      <c r="AD124" s="25">
        <f t="shared" si="62"/>
        <v>1099.1999999999998</v>
      </c>
      <c r="AE124" s="130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</row>
    <row r="125" spans="1:194" s="95" customFormat="1" ht="12.75" x14ac:dyDescent="0.2">
      <c r="A125" s="98"/>
      <c r="B125" s="99"/>
      <c r="C125" s="102" t="s">
        <v>214</v>
      </c>
      <c r="D125" s="103">
        <f>G125+I125+K125+M125+O125+Q125+S125+U125+W125+Y125+AA125+AC125</f>
        <v>102</v>
      </c>
      <c r="E125" s="104" t="s">
        <v>144</v>
      </c>
      <c r="F125" s="105">
        <f>39.5*D125</f>
        <v>4029</v>
      </c>
      <c r="G125" s="107">
        <v>8</v>
      </c>
      <c r="H125" s="108">
        <f>39.5*G125</f>
        <v>316</v>
      </c>
      <c r="I125" s="107">
        <v>8</v>
      </c>
      <c r="J125" s="108">
        <f>39.5*I125</f>
        <v>316</v>
      </c>
      <c r="K125" s="107">
        <v>8</v>
      </c>
      <c r="L125" s="108">
        <f>39.5*K125</f>
        <v>316</v>
      </c>
      <c r="M125" s="107">
        <v>8</v>
      </c>
      <c r="N125" s="108">
        <f>39.5*M125</f>
        <v>316</v>
      </c>
      <c r="O125" s="107">
        <v>8</v>
      </c>
      <c r="P125" s="108">
        <f>39.5*O125</f>
        <v>316</v>
      </c>
      <c r="Q125" s="107">
        <v>8</v>
      </c>
      <c r="R125" s="108">
        <f>39.5*Q125</f>
        <v>316</v>
      </c>
      <c r="S125" s="107">
        <v>8</v>
      </c>
      <c r="T125" s="108">
        <f>39.5*S125</f>
        <v>316</v>
      </c>
      <c r="U125" s="107">
        <v>8</v>
      </c>
      <c r="V125" s="108">
        <f>39.5*U125</f>
        <v>316</v>
      </c>
      <c r="W125" s="107">
        <v>10</v>
      </c>
      <c r="X125" s="108">
        <f>39.5*W125</f>
        <v>395</v>
      </c>
      <c r="Y125" s="107">
        <v>10</v>
      </c>
      <c r="Z125" s="108">
        <f>39.5*Y125</f>
        <v>395</v>
      </c>
      <c r="AA125" s="107">
        <v>10</v>
      </c>
      <c r="AB125" s="108">
        <f>39.5*AA125</f>
        <v>395</v>
      </c>
      <c r="AC125" s="107">
        <v>8</v>
      </c>
      <c r="AD125" s="108">
        <f>39.5*AC125</f>
        <v>316</v>
      </c>
      <c r="AE125" s="130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</row>
    <row r="126" spans="1:194" s="95" customFormat="1" ht="27" customHeight="1" x14ac:dyDescent="0.2">
      <c r="A126" s="98"/>
      <c r="B126" s="99"/>
      <c r="C126" s="102" t="s">
        <v>215</v>
      </c>
      <c r="D126" s="103">
        <f>G126+I126+K126+M126+O126+Q126+S126+U126+W126+Y126+AA126+AC126</f>
        <v>150</v>
      </c>
      <c r="E126" s="104" t="s">
        <v>144</v>
      </c>
      <c r="F126" s="105">
        <f>40.12*D126</f>
        <v>6018</v>
      </c>
      <c r="G126" s="107">
        <v>12</v>
      </c>
      <c r="H126" s="108">
        <f>40.12*G126</f>
        <v>481.43999999999994</v>
      </c>
      <c r="I126" s="107">
        <v>12</v>
      </c>
      <c r="J126" s="108">
        <f>40.12*I126</f>
        <v>481.43999999999994</v>
      </c>
      <c r="K126" s="107">
        <v>12</v>
      </c>
      <c r="L126" s="108">
        <f>40.12*K126</f>
        <v>481.43999999999994</v>
      </c>
      <c r="M126" s="107">
        <v>12</v>
      </c>
      <c r="N126" s="108">
        <f>40.12*M126</f>
        <v>481.43999999999994</v>
      </c>
      <c r="O126" s="107">
        <v>12</v>
      </c>
      <c r="P126" s="108">
        <f>40.12*O126</f>
        <v>481.43999999999994</v>
      </c>
      <c r="Q126" s="107">
        <v>12</v>
      </c>
      <c r="R126" s="108">
        <f>40.12*Q126</f>
        <v>481.43999999999994</v>
      </c>
      <c r="S126" s="107">
        <v>12</v>
      </c>
      <c r="T126" s="108">
        <f>40.12*S126</f>
        <v>481.43999999999994</v>
      </c>
      <c r="U126" s="107">
        <v>12</v>
      </c>
      <c r="V126" s="108">
        <f>40.12*U126</f>
        <v>481.43999999999994</v>
      </c>
      <c r="W126" s="107">
        <v>14</v>
      </c>
      <c r="X126" s="108">
        <f>40.12*W126</f>
        <v>561.67999999999995</v>
      </c>
      <c r="Y126" s="107">
        <v>14</v>
      </c>
      <c r="Z126" s="108">
        <f>40.12*Y126</f>
        <v>561.67999999999995</v>
      </c>
      <c r="AA126" s="107">
        <v>14</v>
      </c>
      <c r="AB126" s="108">
        <f>40.12*AA126</f>
        <v>561.67999999999995</v>
      </c>
      <c r="AC126" s="107">
        <v>12</v>
      </c>
      <c r="AD126" s="108">
        <f>40.12*AC126</f>
        <v>481.43999999999994</v>
      </c>
      <c r="AE126" s="130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98"/>
      <c r="GF126" s="98"/>
      <c r="GG126" s="98"/>
      <c r="GH126" s="98"/>
      <c r="GI126" s="98"/>
      <c r="GJ126" s="98"/>
      <c r="GK126" s="98"/>
      <c r="GL126" s="98"/>
    </row>
    <row r="127" spans="1:194" s="95" customFormat="1" ht="27" customHeight="1" x14ac:dyDescent="0.2">
      <c r="A127" s="98"/>
      <c r="B127" s="99"/>
      <c r="C127" s="102" t="s">
        <v>216</v>
      </c>
      <c r="D127" s="103">
        <f>G127+I127+K127+M127+O127+Q127+S127+U127+W127+Y127+AA127+AC127</f>
        <v>96</v>
      </c>
      <c r="E127" s="104" t="s">
        <v>144</v>
      </c>
      <c r="F127" s="105">
        <f>37.72*D127</f>
        <v>3621.12</v>
      </c>
      <c r="G127" s="107">
        <v>8</v>
      </c>
      <c r="H127" s="108">
        <f>37.72*G127</f>
        <v>301.76</v>
      </c>
      <c r="I127" s="107">
        <v>8</v>
      </c>
      <c r="J127" s="108">
        <f>37.72*I127</f>
        <v>301.76</v>
      </c>
      <c r="K127" s="107">
        <v>8</v>
      </c>
      <c r="L127" s="108">
        <f>37.72*K127</f>
        <v>301.76</v>
      </c>
      <c r="M127" s="107">
        <v>8</v>
      </c>
      <c r="N127" s="108">
        <f>37.72*M127</f>
        <v>301.76</v>
      </c>
      <c r="O127" s="107">
        <v>8</v>
      </c>
      <c r="P127" s="108">
        <f>37.72*O127</f>
        <v>301.76</v>
      </c>
      <c r="Q127" s="107">
        <v>8</v>
      </c>
      <c r="R127" s="108">
        <f>37.72*Q127</f>
        <v>301.76</v>
      </c>
      <c r="S127" s="107">
        <v>8</v>
      </c>
      <c r="T127" s="108">
        <f>37.72*S127</f>
        <v>301.76</v>
      </c>
      <c r="U127" s="107">
        <v>8</v>
      </c>
      <c r="V127" s="108">
        <f>37.72*U127</f>
        <v>301.76</v>
      </c>
      <c r="W127" s="107">
        <v>8</v>
      </c>
      <c r="X127" s="108">
        <f>37.72*W127</f>
        <v>301.76</v>
      </c>
      <c r="Y127" s="107">
        <v>8</v>
      </c>
      <c r="Z127" s="108">
        <f>37.72*Y127</f>
        <v>301.76</v>
      </c>
      <c r="AA127" s="107">
        <v>8</v>
      </c>
      <c r="AB127" s="108">
        <f>37.72*AA127</f>
        <v>301.76</v>
      </c>
      <c r="AC127" s="107">
        <v>8</v>
      </c>
      <c r="AD127" s="108">
        <f>37.72*AC127</f>
        <v>301.76</v>
      </c>
      <c r="AE127" s="130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</row>
    <row r="128" spans="1:194" ht="15" customHeight="1" x14ac:dyDescent="0.2">
      <c r="B128" s="19">
        <v>2600</v>
      </c>
      <c r="C128" s="20" t="s">
        <v>57</v>
      </c>
      <c r="D128" s="34"/>
      <c r="E128" s="19"/>
      <c r="F128" s="41">
        <f>SUM(F129)</f>
        <v>276000</v>
      </c>
      <c r="G128" s="39"/>
      <c r="H128" s="41">
        <f>SUM(H129)</f>
        <v>418587</v>
      </c>
      <c r="I128" s="39" t="s">
        <v>42</v>
      </c>
      <c r="J128" s="41">
        <f>SUM(J129)</f>
        <v>418587</v>
      </c>
      <c r="K128" s="39" t="s">
        <v>42</v>
      </c>
      <c r="L128" s="41">
        <f>SUM(L129)</f>
        <v>418587</v>
      </c>
      <c r="M128" s="39" t="s">
        <v>42</v>
      </c>
      <c r="N128" s="41">
        <f>SUM(N129)</f>
        <v>418587</v>
      </c>
      <c r="O128" s="39" t="s">
        <v>42</v>
      </c>
      <c r="P128" s="41">
        <f>SUM(P129)</f>
        <v>418587</v>
      </c>
      <c r="Q128" s="39" t="s">
        <v>42</v>
      </c>
      <c r="R128" s="41">
        <f>SUM(R129)</f>
        <v>418587</v>
      </c>
      <c r="S128" s="39" t="s">
        <v>42</v>
      </c>
      <c r="T128" s="41">
        <f>SUM(T129)</f>
        <v>418587</v>
      </c>
      <c r="U128" s="39" t="s">
        <v>42</v>
      </c>
      <c r="V128" s="41">
        <f>SUM(V129)</f>
        <v>418587</v>
      </c>
      <c r="W128" s="39" t="s">
        <v>42</v>
      </c>
      <c r="X128" s="41">
        <f>SUM(X129)</f>
        <v>418587</v>
      </c>
      <c r="Y128" s="39" t="s">
        <v>42</v>
      </c>
      <c r="Z128" s="41">
        <f>SUM(Z129)</f>
        <v>418587</v>
      </c>
      <c r="AA128" s="39" t="s">
        <v>42</v>
      </c>
      <c r="AB128" s="41">
        <f>SUM(AB129)</f>
        <v>418587</v>
      </c>
      <c r="AC128" s="39" t="s">
        <v>42</v>
      </c>
      <c r="AD128" s="41">
        <f>SUM(AD129)</f>
        <v>418592.43</v>
      </c>
      <c r="AE128" s="130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</row>
    <row r="129" spans="1:194" ht="14.25" customHeight="1" x14ac:dyDescent="0.2">
      <c r="B129" s="24">
        <v>261</v>
      </c>
      <c r="C129" s="20" t="s">
        <v>58</v>
      </c>
      <c r="D129" s="28"/>
      <c r="E129" s="19"/>
      <c r="F129" s="25">
        <f>SUM(F130:F132)</f>
        <v>276000</v>
      </c>
      <c r="G129" s="37"/>
      <c r="H129" s="25">
        <f>SUM(H130:H132)</f>
        <v>418587</v>
      </c>
      <c r="I129" s="26"/>
      <c r="J129" s="25">
        <f>SUM(J130:J132)</f>
        <v>418587</v>
      </c>
      <c r="K129" s="26"/>
      <c r="L129" s="25">
        <f>SUM(L130:L132)</f>
        <v>418587</v>
      </c>
      <c r="M129" s="26"/>
      <c r="N129" s="25">
        <f>SUM(N130:N132)</f>
        <v>418587</v>
      </c>
      <c r="O129" s="26"/>
      <c r="P129" s="25">
        <f>SUM(P130:P132)</f>
        <v>418587</v>
      </c>
      <c r="Q129" s="26"/>
      <c r="R129" s="25">
        <f>SUM(R130:R132)</f>
        <v>418587</v>
      </c>
      <c r="S129" s="26"/>
      <c r="T129" s="25">
        <f>SUM(T130:T132)</f>
        <v>418587</v>
      </c>
      <c r="U129" s="26"/>
      <c r="V129" s="25">
        <f>SUM(V130:V132)</f>
        <v>418587</v>
      </c>
      <c r="W129" s="26"/>
      <c r="X129" s="25">
        <f>SUM(X130:X132)</f>
        <v>418587</v>
      </c>
      <c r="Y129" s="26"/>
      <c r="Z129" s="25">
        <f>SUM(Z130:Z132)</f>
        <v>418587</v>
      </c>
      <c r="AA129" s="26"/>
      <c r="AB129" s="25">
        <f>SUM(AB130:AB132)</f>
        <v>418587</v>
      </c>
      <c r="AC129" s="26"/>
      <c r="AD129" s="25">
        <f>SUM(AD130:AD132)</f>
        <v>418592.43</v>
      </c>
      <c r="AE129" s="130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</row>
    <row r="130" spans="1:194" ht="12" customHeight="1" x14ac:dyDescent="0.2">
      <c r="A130" s="90"/>
      <c r="B130" s="36"/>
      <c r="C130" s="83" t="s">
        <v>59</v>
      </c>
      <c r="D130" s="34"/>
      <c r="E130" s="33"/>
      <c r="F130" s="35"/>
      <c r="G130" s="42"/>
      <c r="H130" s="36"/>
      <c r="I130" s="42"/>
      <c r="J130" s="36"/>
      <c r="K130" s="42"/>
      <c r="L130" s="36"/>
      <c r="M130" s="42"/>
      <c r="N130" s="36"/>
      <c r="O130" s="42"/>
      <c r="P130" s="36"/>
      <c r="Q130" s="42"/>
      <c r="R130" s="36"/>
      <c r="S130" s="42"/>
      <c r="T130" s="36"/>
      <c r="U130" s="42"/>
      <c r="V130" s="36"/>
      <c r="W130" s="42"/>
      <c r="X130" s="36"/>
      <c r="Y130" s="42"/>
      <c r="Z130" s="36"/>
      <c r="AA130" s="42"/>
      <c r="AB130" s="36"/>
      <c r="AC130" s="42"/>
      <c r="AD130" s="36"/>
      <c r="AE130" s="130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</row>
    <row r="131" spans="1:194" ht="12" customHeight="1" x14ac:dyDescent="0.2">
      <c r="A131" s="91"/>
      <c r="B131" s="24"/>
      <c r="C131" s="102" t="s">
        <v>60</v>
      </c>
      <c r="D131" s="119">
        <v>5023049.43</v>
      </c>
      <c r="E131" s="104" t="s">
        <v>147</v>
      </c>
      <c r="F131" s="106">
        <f>G131+I131+K131+M131+O131+Q131+S131+U131+W131+Y131+AA131+AC131</f>
        <v>276000</v>
      </c>
      <c r="G131" s="107">
        <v>23000</v>
      </c>
      <c r="H131" s="108">
        <v>418587</v>
      </c>
      <c r="I131" s="107">
        <v>23000</v>
      </c>
      <c r="J131" s="108">
        <v>418587</v>
      </c>
      <c r="K131" s="107">
        <v>23000</v>
      </c>
      <c r="L131" s="108">
        <v>418587</v>
      </c>
      <c r="M131" s="107">
        <v>23000</v>
      </c>
      <c r="N131" s="108">
        <v>418587</v>
      </c>
      <c r="O131" s="107">
        <v>23000</v>
      </c>
      <c r="P131" s="108">
        <v>418587</v>
      </c>
      <c r="Q131" s="107">
        <v>23000</v>
      </c>
      <c r="R131" s="108">
        <v>418587</v>
      </c>
      <c r="S131" s="107">
        <v>23000</v>
      </c>
      <c r="T131" s="108">
        <v>418587</v>
      </c>
      <c r="U131" s="107">
        <v>23000</v>
      </c>
      <c r="V131" s="108">
        <v>418587</v>
      </c>
      <c r="W131" s="107">
        <v>23000</v>
      </c>
      <c r="X131" s="108">
        <v>418587</v>
      </c>
      <c r="Y131" s="107">
        <v>23000</v>
      </c>
      <c r="Z131" s="108">
        <v>418587</v>
      </c>
      <c r="AA131" s="107">
        <v>23000</v>
      </c>
      <c r="AB131" s="108">
        <v>418587</v>
      </c>
      <c r="AC131" s="107">
        <v>23000</v>
      </c>
      <c r="AD131" s="108">
        <v>418592.43</v>
      </c>
      <c r="AE131" s="130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</row>
    <row r="132" spans="1:194" ht="12.75" customHeight="1" x14ac:dyDescent="0.2">
      <c r="A132" s="91"/>
      <c r="B132" s="24"/>
      <c r="C132" s="83" t="s">
        <v>61</v>
      </c>
      <c r="D132" s="28"/>
      <c r="E132" s="33"/>
      <c r="F132" s="30"/>
      <c r="G132" s="32"/>
      <c r="H132" s="31"/>
      <c r="I132" s="32"/>
      <c r="J132" s="31"/>
      <c r="K132" s="32"/>
      <c r="L132" s="31"/>
      <c r="M132" s="32"/>
      <c r="N132" s="31"/>
      <c r="O132" s="32"/>
      <c r="P132" s="31"/>
      <c r="Q132" s="32"/>
      <c r="R132" s="31"/>
      <c r="S132" s="32"/>
      <c r="T132" s="31"/>
      <c r="U132" s="32"/>
      <c r="V132" s="31"/>
      <c r="W132" s="32"/>
      <c r="X132" s="31"/>
      <c r="Y132" s="32"/>
      <c r="Z132" s="31"/>
      <c r="AA132" s="32"/>
      <c r="AB132" s="31"/>
      <c r="AC132" s="32"/>
      <c r="AD132" s="31"/>
      <c r="AE132" s="130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</row>
    <row r="133" spans="1:194" ht="24.75" customHeight="1" x14ac:dyDescent="0.2">
      <c r="A133" s="92"/>
      <c r="B133" s="19">
        <v>2700</v>
      </c>
      <c r="C133" s="20" t="s">
        <v>62</v>
      </c>
      <c r="D133" s="28"/>
      <c r="E133" s="22"/>
      <c r="F133" s="23">
        <f>SUM(F134,F136,F141,F143)</f>
        <v>747040</v>
      </c>
      <c r="G133" s="37"/>
      <c r="H133" s="23">
        <f>SUM(H134,H136,H141,H143)</f>
        <v>0</v>
      </c>
      <c r="I133" s="37" t="s">
        <v>42</v>
      </c>
      <c r="J133" s="23">
        <f>SUM(J134,J136,J141,J143)</f>
        <v>0</v>
      </c>
      <c r="K133" s="37" t="s">
        <v>42</v>
      </c>
      <c r="L133" s="23">
        <f>SUM(L134,L136,L141,L143)</f>
        <v>0</v>
      </c>
      <c r="M133" s="37" t="s">
        <v>42</v>
      </c>
      <c r="N133" s="23">
        <f>SUM(N134,N136,N141,N143)</f>
        <v>0</v>
      </c>
      <c r="O133" s="37" t="s">
        <v>42</v>
      </c>
      <c r="P133" s="23">
        <f>SUM(P134,P136,P141,P143)</f>
        <v>0</v>
      </c>
      <c r="Q133" s="37" t="s">
        <v>42</v>
      </c>
      <c r="R133" s="23">
        <f>SUM(R134,R136,R141,R143)</f>
        <v>0</v>
      </c>
      <c r="S133" s="37" t="s">
        <v>42</v>
      </c>
      <c r="T133" s="23">
        <f>SUM(T134,T136,T141,T143)</f>
        <v>0</v>
      </c>
      <c r="U133" s="37" t="s">
        <v>42</v>
      </c>
      <c r="V133" s="23">
        <f>SUM(V134,V136,V141,V143)</f>
        <v>0</v>
      </c>
      <c r="W133" s="37" t="s">
        <v>42</v>
      </c>
      <c r="X133" s="23">
        <f>SUM(X134,X136,X141,X143)</f>
        <v>0</v>
      </c>
      <c r="Y133" s="37" t="s">
        <v>42</v>
      </c>
      <c r="Z133" s="23">
        <f>SUM(Z134,Z136,Z141,Z143)</f>
        <v>0</v>
      </c>
      <c r="AA133" s="37" t="s">
        <v>42</v>
      </c>
      <c r="AB133" s="23">
        <f>SUM(AB134,AB136,AB141,AB143)</f>
        <v>0</v>
      </c>
      <c r="AC133" s="37" t="s">
        <v>42</v>
      </c>
      <c r="AD133" s="23">
        <f>SUM(AD134,AD136,AD141,AD143)</f>
        <v>0</v>
      </c>
      <c r="AE133" s="130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</row>
    <row r="134" spans="1:194" ht="15" customHeight="1" x14ac:dyDescent="0.2">
      <c r="A134" s="92"/>
      <c r="B134" s="24">
        <v>271</v>
      </c>
      <c r="C134" s="20" t="s">
        <v>63</v>
      </c>
      <c r="D134" s="28"/>
      <c r="E134" s="19"/>
      <c r="F134" s="25">
        <f>F135</f>
        <v>747040</v>
      </c>
      <c r="G134" s="37"/>
      <c r="H134" s="25">
        <f>H135</f>
        <v>0</v>
      </c>
      <c r="I134" s="26"/>
      <c r="J134" s="25">
        <f>J135</f>
        <v>0</v>
      </c>
      <c r="K134" s="26"/>
      <c r="L134" s="25">
        <f>L135</f>
        <v>0</v>
      </c>
      <c r="M134" s="26"/>
      <c r="N134" s="25">
        <f>N135</f>
        <v>0</v>
      </c>
      <c r="O134" s="26"/>
      <c r="P134" s="25">
        <f>P135</f>
        <v>0</v>
      </c>
      <c r="Q134" s="26"/>
      <c r="R134" s="25">
        <f>R135</f>
        <v>0</v>
      </c>
      <c r="S134" s="26"/>
      <c r="T134" s="25">
        <f>T135</f>
        <v>0</v>
      </c>
      <c r="U134" s="26"/>
      <c r="V134" s="25">
        <f>V135</f>
        <v>0</v>
      </c>
      <c r="W134" s="26"/>
      <c r="X134" s="25">
        <f>X135</f>
        <v>0</v>
      </c>
      <c r="Y134" s="26"/>
      <c r="Z134" s="25">
        <f>Z135</f>
        <v>0</v>
      </c>
      <c r="AA134" s="26"/>
      <c r="AB134" s="25">
        <f>AB135</f>
        <v>0</v>
      </c>
      <c r="AC134" s="26"/>
      <c r="AD134" s="25">
        <f>AD135</f>
        <v>0</v>
      </c>
      <c r="AE134" s="130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8"/>
      <c r="GA134" s="98"/>
      <c r="GB134" s="98"/>
      <c r="GC134" s="98"/>
      <c r="GD134" s="98"/>
      <c r="GE134" s="98"/>
      <c r="GF134" s="98"/>
      <c r="GG134" s="98"/>
      <c r="GH134" s="98"/>
      <c r="GI134" s="98"/>
      <c r="GJ134" s="98"/>
      <c r="GK134" s="98"/>
      <c r="GL134" s="98"/>
    </row>
    <row r="135" spans="1:194" ht="14.25" customHeight="1" x14ac:dyDescent="0.2">
      <c r="A135" s="92"/>
      <c r="B135" s="24"/>
      <c r="C135" s="102" t="s">
        <v>64</v>
      </c>
      <c r="D135" s="103">
        <v>560</v>
      </c>
      <c r="E135" s="104" t="s">
        <v>35</v>
      </c>
      <c r="F135" s="106">
        <v>747040</v>
      </c>
      <c r="G135" s="32"/>
      <c r="H135" s="31"/>
      <c r="I135" s="32"/>
      <c r="J135" s="31"/>
      <c r="K135" s="32"/>
      <c r="L135" s="31"/>
      <c r="M135" s="32"/>
      <c r="N135" s="31"/>
      <c r="O135" s="32"/>
      <c r="P135" s="31"/>
      <c r="Q135" s="32"/>
      <c r="R135" s="31"/>
      <c r="S135" s="32"/>
      <c r="T135" s="31"/>
      <c r="U135" s="32"/>
      <c r="V135" s="31"/>
      <c r="W135" s="32"/>
      <c r="X135" s="31"/>
      <c r="Y135" s="32"/>
      <c r="Z135" s="31"/>
      <c r="AA135" s="32"/>
      <c r="AB135" s="31"/>
      <c r="AC135" s="32"/>
      <c r="AD135" s="31"/>
      <c r="AE135" s="130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</row>
    <row r="136" spans="1:194" ht="21.75" customHeight="1" x14ac:dyDescent="0.2">
      <c r="A136" s="92"/>
      <c r="B136" s="24">
        <v>272</v>
      </c>
      <c r="C136" s="20" t="s">
        <v>139</v>
      </c>
      <c r="D136" s="28"/>
      <c r="E136" s="33"/>
      <c r="F136" s="48">
        <f>SUM(F137:F140)</f>
        <v>0</v>
      </c>
      <c r="G136" s="37"/>
      <c r="H136" s="48">
        <f>SUM(H137:H140)</f>
        <v>0</v>
      </c>
      <c r="I136" s="37"/>
      <c r="J136" s="48">
        <f>SUM(J137:J140)</f>
        <v>0</v>
      </c>
      <c r="K136" s="37"/>
      <c r="L136" s="48">
        <f>SUM(L137:L140)</f>
        <v>0</v>
      </c>
      <c r="M136" s="37"/>
      <c r="N136" s="48">
        <f>SUM(N137:N140)</f>
        <v>0</v>
      </c>
      <c r="O136" s="37"/>
      <c r="P136" s="48">
        <f>SUM(P137:P140)</f>
        <v>0</v>
      </c>
      <c r="Q136" s="37"/>
      <c r="R136" s="48">
        <f>SUM(R137:R140)</f>
        <v>0</v>
      </c>
      <c r="S136" s="37"/>
      <c r="T136" s="48">
        <f>SUM(T137:T140)</f>
        <v>0</v>
      </c>
      <c r="U136" s="37"/>
      <c r="V136" s="48">
        <f>SUM(V137:V140)</f>
        <v>0</v>
      </c>
      <c r="W136" s="37"/>
      <c r="X136" s="48">
        <f>SUM(X137:X140)</f>
        <v>0</v>
      </c>
      <c r="Y136" s="37"/>
      <c r="Z136" s="48">
        <f>SUM(Z137:Z140)</f>
        <v>0</v>
      </c>
      <c r="AA136" s="37"/>
      <c r="AB136" s="48">
        <f>SUM(AB137:AB140)</f>
        <v>0</v>
      </c>
      <c r="AC136" s="37"/>
      <c r="AD136" s="48">
        <f>SUM(AD137:AD140)</f>
        <v>0</v>
      </c>
      <c r="AE136" s="130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</row>
    <row r="137" spans="1:194" ht="13.5" customHeight="1" x14ac:dyDescent="0.2">
      <c r="A137" s="92"/>
      <c r="B137" s="24"/>
      <c r="C137" s="83" t="s">
        <v>156</v>
      </c>
      <c r="D137" s="28"/>
      <c r="E137" s="33"/>
      <c r="F137" s="30"/>
      <c r="G137" s="32"/>
      <c r="H137" s="31"/>
      <c r="I137" s="32"/>
      <c r="J137" s="31"/>
      <c r="K137" s="32"/>
      <c r="L137" s="31"/>
      <c r="M137" s="32"/>
      <c r="N137" s="31"/>
      <c r="O137" s="32"/>
      <c r="P137" s="31"/>
      <c r="Q137" s="32"/>
      <c r="R137" s="31"/>
      <c r="S137" s="32"/>
      <c r="T137" s="31"/>
      <c r="U137" s="32"/>
      <c r="V137" s="32"/>
      <c r="W137" s="31"/>
      <c r="X137" s="31"/>
      <c r="Y137" s="32"/>
      <c r="Z137" s="31"/>
      <c r="AA137" s="32"/>
      <c r="AB137" s="31"/>
      <c r="AC137" s="32"/>
      <c r="AD137" s="31"/>
      <c r="AE137" s="130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</row>
    <row r="138" spans="1:194" ht="13.5" customHeight="1" x14ac:dyDescent="0.2">
      <c r="A138" s="92"/>
      <c r="B138" s="21"/>
      <c r="C138" s="83" t="s">
        <v>175</v>
      </c>
      <c r="D138" s="28"/>
      <c r="E138" s="33"/>
      <c r="F138" s="30"/>
      <c r="G138" s="32"/>
      <c r="H138" s="31"/>
      <c r="I138" s="32"/>
      <c r="J138" s="31"/>
      <c r="K138" s="32"/>
      <c r="L138" s="31"/>
      <c r="M138" s="32"/>
      <c r="N138" s="31"/>
      <c r="O138" s="32"/>
      <c r="P138" s="31"/>
      <c r="Q138" s="32"/>
      <c r="R138" s="31"/>
      <c r="S138" s="32"/>
      <c r="T138" s="31"/>
      <c r="U138" s="32"/>
      <c r="V138" s="32"/>
      <c r="W138" s="31"/>
      <c r="X138" s="31"/>
      <c r="Y138" s="32"/>
      <c r="Z138" s="31"/>
      <c r="AA138" s="32"/>
      <c r="AB138" s="31"/>
      <c r="AC138" s="32"/>
      <c r="AD138" s="31"/>
      <c r="AE138" s="130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</row>
    <row r="139" spans="1:194" ht="13.5" customHeight="1" x14ac:dyDescent="0.2">
      <c r="A139" s="90"/>
      <c r="B139" s="31"/>
      <c r="C139" s="83" t="s">
        <v>174</v>
      </c>
      <c r="D139" s="28"/>
      <c r="E139" s="33"/>
      <c r="F139" s="30"/>
      <c r="G139" s="32"/>
      <c r="H139" s="31"/>
      <c r="I139" s="32"/>
      <c r="J139" s="31"/>
      <c r="K139" s="32"/>
      <c r="L139" s="31"/>
      <c r="M139" s="32"/>
      <c r="N139" s="31"/>
      <c r="O139" s="32"/>
      <c r="P139" s="31"/>
      <c r="Q139" s="32"/>
      <c r="R139" s="31"/>
      <c r="S139" s="32"/>
      <c r="T139" s="31"/>
      <c r="U139" s="32"/>
      <c r="V139" s="31"/>
      <c r="W139" s="32"/>
      <c r="X139" s="31"/>
      <c r="Y139" s="32"/>
      <c r="Z139" s="31"/>
      <c r="AA139" s="32"/>
      <c r="AB139" s="31"/>
      <c r="AC139" s="32"/>
      <c r="AD139" s="31"/>
      <c r="AE139" s="130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98"/>
      <c r="GF139" s="98"/>
      <c r="GG139" s="98"/>
      <c r="GH139" s="98"/>
      <c r="GI139" s="98"/>
      <c r="GJ139" s="98"/>
      <c r="GK139" s="98"/>
      <c r="GL139" s="98"/>
    </row>
    <row r="140" spans="1:194" ht="13.5" customHeight="1" x14ac:dyDescent="0.2">
      <c r="A140" s="92"/>
      <c r="B140" s="24"/>
      <c r="C140" s="83" t="s">
        <v>173</v>
      </c>
      <c r="D140" s="28"/>
      <c r="E140" s="33"/>
      <c r="F140" s="30"/>
      <c r="G140" s="32"/>
      <c r="H140" s="31"/>
      <c r="I140" s="32"/>
      <c r="J140" s="31"/>
      <c r="K140" s="32"/>
      <c r="L140" s="31"/>
      <c r="M140" s="32"/>
      <c r="N140" s="31"/>
      <c r="O140" s="32"/>
      <c r="P140" s="31"/>
      <c r="Q140" s="32"/>
      <c r="R140" s="31"/>
      <c r="S140" s="32"/>
      <c r="T140" s="31"/>
      <c r="U140" s="32"/>
      <c r="V140" s="31"/>
      <c r="W140" s="32"/>
      <c r="X140" s="31"/>
      <c r="Y140" s="32"/>
      <c r="Z140" s="31"/>
      <c r="AA140" s="32"/>
      <c r="AB140" s="31"/>
      <c r="AC140" s="32"/>
      <c r="AD140" s="31"/>
      <c r="AE140" s="130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</row>
    <row r="141" spans="1:194" ht="13.5" customHeight="1" x14ac:dyDescent="0.2">
      <c r="B141" s="24">
        <v>273</v>
      </c>
      <c r="C141" s="20" t="s">
        <v>65</v>
      </c>
      <c r="D141" s="34"/>
      <c r="E141" s="19"/>
      <c r="F141" s="25"/>
      <c r="G141" s="39"/>
      <c r="H141" s="25"/>
      <c r="I141" s="40"/>
      <c r="J141" s="25"/>
      <c r="K141" s="40"/>
      <c r="L141" s="25"/>
      <c r="M141" s="40"/>
      <c r="N141" s="25"/>
      <c r="O141" s="40"/>
      <c r="P141" s="25"/>
      <c r="Q141" s="40"/>
      <c r="R141" s="25"/>
      <c r="S141" s="40"/>
      <c r="T141" s="25"/>
      <c r="U141" s="40"/>
      <c r="V141" s="25"/>
      <c r="W141" s="40"/>
      <c r="X141" s="25"/>
      <c r="Y141" s="40"/>
      <c r="Z141" s="25"/>
      <c r="AA141" s="40"/>
      <c r="AB141" s="25"/>
      <c r="AC141" s="40"/>
      <c r="AD141" s="25"/>
      <c r="AE141" s="130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</row>
    <row r="142" spans="1:194" ht="13.5" customHeight="1" x14ac:dyDescent="0.2">
      <c r="B142" s="24"/>
      <c r="C142" s="83" t="s">
        <v>66</v>
      </c>
      <c r="D142" s="34"/>
      <c r="E142" s="33"/>
      <c r="F142" s="35"/>
      <c r="G142" s="42"/>
      <c r="H142" s="36"/>
      <c r="I142" s="42"/>
      <c r="J142" s="36"/>
      <c r="K142" s="42"/>
      <c r="L142" s="36"/>
      <c r="M142" s="42"/>
      <c r="N142" s="36"/>
      <c r="O142" s="42"/>
      <c r="P142" s="36"/>
      <c r="Q142" s="42"/>
      <c r="R142" s="36"/>
      <c r="S142" s="42"/>
      <c r="T142" s="36"/>
      <c r="U142" s="42"/>
      <c r="V142" s="36"/>
      <c r="W142" s="42"/>
      <c r="X142" s="36"/>
      <c r="Y142" s="42"/>
      <c r="Z142" s="36"/>
      <c r="AA142" s="42"/>
      <c r="AB142" s="36"/>
      <c r="AC142" s="42"/>
      <c r="AD142" s="36"/>
      <c r="AE142" s="130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</row>
    <row r="143" spans="1:194" ht="13.5" customHeight="1" x14ac:dyDescent="0.2">
      <c r="B143" s="24">
        <v>274</v>
      </c>
      <c r="C143" s="20" t="s">
        <v>67</v>
      </c>
      <c r="D143" s="34"/>
      <c r="E143" s="33"/>
      <c r="F143" s="25"/>
      <c r="G143" s="42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130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</row>
    <row r="144" spans="1:194" ht="12.75" customHeight="1" x14ac:dyDescent="0.2">
      <c r="B144" s="24"/>
      <c r="C144" s="83" t="s">
        <v>157</v>
      </c>
      <c r="D144" s="28"/>
      <c r="E144" s="29"/>
      <c r="F144" s="30"/>
      <c r="G144" s="32"/>
      <c r="H144" s="31"/>
      <c r="I144" s="32"/>
      <c r="J144" s="31"/>
      <c r="K144" s="32"/>
      <c r="L144" s="31"/>
      <c r="M144" s="32"/>
      <c r="N144" s="31"/>
      <c r="O144" s="32"/>
      <c r="P144" s="31"/>
      <c r="Q144" s="32"/>
      <c r="R144" s="31"/>
      <c r="S144" s="32"/>
      <c r="T144" s="31"/>
      <c r="U144" s="32"/>
      <c r="V144" s="31"/>
      <c r="W144" s="32"/>
      <c r="X144" s="31"/>
      <c r="Y144" s="32"/>
      <c r="Z144" s="31"/>
      <c r="AA144" s="32"/>
      <c r="AB144" s="31"/>
      <c r="AC144" s="32"/>
      <c r="AD144" s="31"/>
      <c r="AE144" s="130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</row>
    <row r="145" spans="2:194" ht="12.75" customHeight="1" x14ac:dyDescent="0.2">
      <c r="B145" s="24"/>
      <c r="C145" s="83" t="s">
        <v>158</v>
      </c>
      <c r="D145" s="34"/>
      <c r="E145" s="33"/>
      <c r="F145" s="35"/>
      <c r="G145" s="48"/>
      <c r="H145" s="36"/>
      <c r="I145" s="42"/>
      <c r="J145" s="36"/>
      <c r="K145" s="42"/>
      <c r="L145" s="36"/>
      <c r="M145" s="42"/>
      <c r="N145" s="36"/>
      <c r="O145" s="42"/>
      <c r="P145" s="36"/>
      <c r="Q145" s="42"/>
      <c r="R145" s="36"/>
      <c r="S145" s="42"/>
      <c r="T145" s="36"/>
      <c r="U145" s="42"/>
      <c r="V145" s="36"/>
      <c r="W145" s="42"/>
      <c r="X145" s="36"/>
      <c r="Y145" s="42"/>
      <c r="Z145" s="36"/>
      <c r="AA145" s="42"/>
      <c r="AB145" s="36"/>
      <c r="AC145" s="42"/>
      <c r="AD145" s="36"/>
      <c r="AE145" s="130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</row>
    <row r="146" spans="2:194" ht="25.5" customHeight="1" x14ac:dyDescent="0.2">
      <c r="B146" s="19">
        <v>2900</v>
      </c>
      <c r="C146" s="20" t="s">
        <v>69</v>
      </c>
      <c r="D146" s="28"/>
      <c r="E146" s="22"/>
      <c r="F146" s="23">
        <f>SUM(F147,F151,F154,F156,F163,F174)</f>
        <v>126945.91</v>
      </c>
      <c r="G146" s="37"/>
      <c r="H146" s="23">
        <f>SUM(H147,H151,H154,H156,H163,H174)</f>
        <v>0</v>
      </c>
      <c r="I146" s="37" t="s">
        <v>42</v>
      </c>
      <c r="J146" s="23">
        <f>SUM(J147,J151,J154,J156,J163,J174)</f>
        <v>0</v>
      </c>
      <c r="K146" s="37" t="s">
        <v>42</v>
      </c>
      <c r="L146" s="23">
        <f>SUM(L147,L151,L154,L156,L163,L174)</f>
        <v>0</v>
      </c>
      <c r="M146" s="37" t="s">
        <v>42</v>
      </c>
      <c r="N146" s="23">
        <f>SUM(N147,N151,N154,N156,N163,N174)</f>
        <v>0</v>
      </c>
      <c r="O146" s="37" t="s">
        <v>42</v>
      </c>
      <c r="P146" s="23">
        <f>SUM(P147,P151,P154,P156,P163,P174)</f>
        <v>0</v>
      </c>
      <c r="Q146" s="37" t="s">
        <v>42</v>
      </c>
      <c r="R146" s="23">
        <f>SUM(R147,R151,R154,R156,R163,R174)</f>
        <v>66720.159999999989</v>
      </c>
      <c r="S146" s="37" t="s">
        <v>42</v>
      </c>
      <c r="T146" s="23">
        <f>SUM(T147,T151,T154,T156,T163,T174)</f>
        <v>48903.29</v>
      </c>
      <c r="U146" s="37" t="s">
        <v>42</v>
      </c>
      <c r="V146" s="23">
        <f>SUM(V147,V151,V154,V156,V163,V174)</f>
        <v>11322.46</v>
      </c>
      <c r="W146" s="37" t="s">
        <v>42</v>
      </c>
      <c r="X146" s="23">
        <f>SUM(X147,X151,X154,X156,X163,X174)</f>
        <v>0</v>
      </c>
      <c r="Y146" s="37" t="s">
        <v>42</v>
      </c>
      <c r="Z146" s="23">
        <f>SUM(Z147,Z151,Z154,Z156,Z163,Z174)</f>
        <v>0</v>
      </c>
      <c r="AA146" s="37" t="s">
        <v>42</v>
      </c>
      <c r="AB146" s="23">
        <f>SUM(AB147,AB151,AB154,AB156,AB163,AB174)</f>
        <v>0</v>
      </c>
      <c r="AC146" s="37" t="s">
        <v>42</v>
      </c>
      <c r="AD146" s="23">
        <f>SUM(AD147,AD151,AD154,AD156,AD163,AD174)</f>
        <v>0</v>
      </c>
      <c r="AE146" s="130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</row>
    <row r="147" spans="2:194" ht="13.5" customHeight="1" x14ac:dyDescent="0.2">
      <c r="B147" s="24">
        <v>291</v>
      </c>
      <c r="C147" s="20" t="s">
        <v>70</v>
      </c>
      <c r="D147" s="28"/>
      <c r="E147" s="19"/>
      <c r="F147" s="25">
        <f>SUM(F148:F150)</f>
        <v>0</v>
      </c>
      <c r="G147" s="37"/>
      <c r="H147" s="25">
        <f>SUM(H148:H150)</f>
        <v>0</v>
      </c>
      <c r="I147" s="23"/>
      <c r="J147" s="25">
        <f>SUM(J148:J150)</f>
        <v>0</v>
      </c>
      <c r="K147" s="23"/>
      <c r="L147" s="25">
        <f>SUM(L148:L150)</f>
        <v>0</v>
      </c>
      <c r="M147" s="23"/>
      <c r="N147" s="25">
        <f>SUM(N148:N150)</f>
        <v>0</v>
      </c>
      <c r="O147" s="23"/>
      <c r="P147" s="25">
        <f>SUM(P148:P150)</f>
        <v>0</v>
      </c>
      <c r="Q147" s="23"/>
      <c r="R147" s="25">
        <f>SUM(R148:R150)</f>
        <v>0</v>
      </c>
      <c r="S147" s="23"/>
      <c r="T147" s="25">
        <f>SUM(T148:T150)</f>
        <v>0</v>
      </c>
      <c r="U147" s="23"/>
      <c r="V147" s="25">
        <f>SUM(V148:V150)</f>
        <v>0</v>
      </c>
      <c r="W147" s="23"/>
      <c r="X147" s="25">
        <f>SUM(X148:X150)</f>
        <v>0</v>
      </c>
      <c r="Y147" s="23"/>
      <c r="Z147" s="25">
        <f>SUM(Z148:Z150)</f>
        <v>0</v>
      </c>
      <c r="AA147" s="23"/>
      <c r="AB147" s="25">
        <f>SUM(AB148:AB150)</f>
        <v>0</v>
      </c>
      <c r="AC147" s="23"/>
      <c r="AD147" s="25">
        <f>SUM(AD148:AD150)</f>
        <v>0</v>
      </c>
      <c r="AE147" s="130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</row>
    <row r="148" spans="2:194" ht="15.75" customHeight="1" x14ac:dyDescent="0.2">
      <c r="B148" s="24"/>
      <c r="C148" s="83" t="s">
        <v>176</v>
      </c>
      <c r="D148" s="34"/>
      <c r="E148" s="33"/>
      <c r="F148" s="35"/>
      <c r="G148" s="32"/>
      <c r="H148" s="31"/>
      <c r="I148" s="42"/>
      <c r="J148" s="36"/>
      <c r="K148" s="32"/>
      <c r="L148" s="31"/>
      <c r="M148" s="32"/>
      <c r="N148" s="31"/>
      <c r="O148" s="32"/>
      <c r="P148" s="31"/>
      <c r="Q148" s="32"/>
      <c r="R148" s="31"/>
      <c r="S148" s="32"/>
      <c r="T148" s="31"/>
      <c r="U148" s="32"/>
      <c r="V148" s="31"/>
      <c r="W148" s="32"/>
      <c r="X148" s="31"/>
      <c r="Y148" s="32"/>
      <c r="Z148" s="31"/>
      <c r="AA148" s="32"/>
      <c r="AB148" s="31"/>
      <c r="AC148" s="32"/>
      <c r="AD148" s="31"/>
      <c r="AE148" s="130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</row>
    <row r="149" spans="2:194" ht="26.25" customHeight="1" x14ac:dyDescent="0.2">
      <c r="B149" s="24"/>
      <c r="C149" s="83" t="s">
        <v>177</v>
      </c>
      <c r="D149" s="34"/>
      <c r="E149" s="33"/>
      <c r="F149" s="35"/>
      <c r="G149" s="32"/>
      <c r="H149" s="31"/>
      <c r="I149" s="42"/>
      <c r="J149" s="36"/>
      <c r="K149" s="32"/>
      <c r="L149" s="31"/>
      <c r="M149" s="32"/>
      <c r="N149" s="31"/>
      <c r="O149" s="32"/>
      <c r="P149" s="31"/>
      <c r="Q149" s="32"/>
      <c r="R149" s="31"/>
      <c r="S149" s="32"/>
      <c r="T149" s="31"/>
      <c r="U149" s="32"/>
      <c r="V149" s="31"/>
      <c r="W149" s="32"/>
      <c r="X149" s="31"/>
      <c r="Y149" s="32"/>
      <c r="Z149" s="31"/>
      <c r="AA149" s="32"/>
      <c r="AB149" s="31"/>
      <c r="AC149" s="32"/>
      <c r="AD149" s="31"/>
      <c r="AE149" s="130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</row>
    <row r="150" spans="2:194" ht="15.75" customHeight="1" x14ac:dyDescent="0.2">
      <c r="B150" s="24"/>
      <c r="C150" s="83" t="s">
        <v>159</v>
      </c>
      <c r="D150" s="34"/>
      <c r="E150" s="33"/>
      <c r="F150" s="35"/>
      <c r="G150" s="42"/>
      <c r="H150" s="36"/>
      <c r="I150" s="42"/>
      <c r="J150" s="36"/>
      <c r="K150" s="42"/>
      <c r="L150" s="36"/>
      <c r="M150" s="42"/>
      <c r="N150" s="36"/>
      <c r="O150" s="42"/>
      <c r="P150" s="36"/>
      <c r="Q150" s="42"/>
      <c r="R150" s="36"/>
      <c r="S150" s="42"/>
      <c r="T150" s="36"/>
      <c r="U150" s="42"/>
      <c r="V150" s="36"/>
      <c r="W150" s="42"/>
      <c r="X150" s="36"/>
      <c r="Y150" s="42"/>
      <c r="Z150" s="36"/>
      <c r="AA150" s="42"/>
      <c r="AB150" s="36"/>
      <c r="AC150" s="42"/>
      <c r="AD150" s="36"/>
      <c r="AE150" s="130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  <c r="FZ150" s="98"/>
      <c r="GA150" s="98"/>
      <c r="GB150" s="98"/>
      <c r="GC150" s="98"/>
      <c r="GD150" s="98"/>
      <c r="GE150" s="98"/>
      <c r="GF150" s="98"/>
      <c r="GG150" s="98"/>
      <c r="GH150" s="98"/>
      <c r="GI150" s="98"/>
      <c r="GJ150" s="98"/>
      <c r="GK150" s="98"/>
      <c r="GL150" s="98"/>
    </row>
    <row r="151" spans="2:194" ht="25.5" customHeight="1" x14ac:dyDescent="0.2">
      <c r="B151" s="49">
        <v>292</v>
      </c>
      <c r="C151" s="85" t="s">
        <v>71</v>
      </c>
      <c r="D151" s="50"/>
      <c r="E151" s="51"/>
      <c r="F151" s="25"/>
      <c r="G151" s="37"/>
      <c r="H151" s="25"/>
      <c r="I151" s="26"/>
      <c r="J151" s="25"/>
      <c r="K151" s="26"/>
      <c r="L151" s="25"/>
      <c r="M151" s="26"/>
      <c r="N151" s="25"/>
      <c r="O151" s="26"/>
      <c r="P151" s="25"/>
      <c r="Q151" s="26"/>
      <c r="R151" s="25"/>
      <c r="S151" s="26"/>
      <c r="T151" s="25"/>
      <c r="U151" s="26"/>
      <c r="V151" s="25"/>
      <c r="W151" s="26"/>
      <c r="X151" s="25"/>
      <c r="Y151" s="26"/>
      <c r="Z151" s="25"/>
      <c r="AA151" s="26"/>
      <c r="AB151" s="25"/>
      <c r="AC151" s="26"/>
      <c r="AD151" s="25"/>
      <c r="AE151" s="130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</row>
    <row r="152" spans="2:194" ht="15" customHeight="1" x14ac:dyDescent="0.2">
      <c r="B152" s="24"/>
      <c r="C152" s="83" t="s">
        <v>72</v>
      </c>
      <c r="D152" s="28"/>
      <c r="E152" s="33"/>
      <c r="F152" s="30"/>
      <c r="G152" s="32"/>
      <c r="H152" s="31"/>
      <c r="I152" s="32"/>
      <c r="J152" s="31"/>
      <c r="K152" s="32"/>
      <c r="L152" s="31"/>
      <c r="M152" s="32"/>
      <c r="N152" s="31"/>
      <c r="O152" s="32"/>
      <c r="P152" s="31"/>
      <c r="Q152" s="32"/>
      <c r="R152" s="31"/>
      <c r="S152" s="32"/>
      <c r="T152" s="31"/>
      <c r="U152" s="32"/>
      <c r="V152" s="31"/>
      <c r="W152" s="32"/>
      <c r="X152" s="31"/>
      <c r="Y152" s="32"/>
      <c r="Z152" s="31"/>
      <c r="AA152" s="32"/>
      <c r="AB152" s="31"/>
      <c r="AC152" s="32"/>
      <c r="AD152" s="31"/>
      <c r="AE152" s="130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</row>
    <row r="153" spans="2:194" ht="13.5" customHeight="1" x14ac:dyDescent="0.2">
      <c r="B153" s="24"/>
      <c r="C153" s="83" t="s">
        <v>178</v>
      </c>
      <c r="D153" s="28"/>
      <c r="E153" s="33"/>
      <c r="F153" s="30"/>
      <c r="G153" s="32"/>
      <c r="H153" s="31"/>
      <c r="I153" s="32"/>
      <c r="J153" s="31"/>
      <c r="K153" s="32"/>
      <c r="L153" s="31"/>
      <c r="M153" s="32"/>
      <c r="N153" s="31"/>
      <c r="O153" s="32"/>
      <c r="P153" s="31"/>
      <c r="Q153" s="32"/>
      <c r="R153" s="31"/>
      <c r="S153" s="32"/>
      <c r="T153" s="31"/>
      <c r="U153" s="32"/>
      <c r="V153" s="31"/>
      <c r="W153" s="32"/>
      <c r="X153" s="31"/>
      <c r="Y153" s="32"/>
      <c r="Z153" s="31"/>
      <c r="AA153" s="32"/>
      <c r="AB153" s="31"/>
      <c r="AC153" s="32"/>
      <c r="AD153" s="31"/>
      <c r="AE153" s="130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</row>
    <row r="154" spans="2:194" ht="36.75" customHeight="1" x14ac:dyDescent="0.2">
      <c r="B154" s="24">
        <v>293</v>
      </c>
      <c r="C154" s="20" t="s">
        <v>74</v>
      </c>
      <c r="D154" s="28"/>
      <c r="E154" s="19"/>
      <c r="F154" s="25">
        <f>SUM(F155:F155)</f>
        <v>0</v>
      </c>
      <c r="G154" s="37"/>
      <c r="H154" s="25">
        <f>SUM(H155:H155)</f>
        <v>0</v>
      </c>
      <c r="I154" s="23"/>
      <c r="J154" s="25">
        <f>SUM(J155:J155)</f>
        <v>0</v>
      </c>
      <c r="K154" s="23"/>
      <c r="L154" s="25">
        <f>SUM(L155:L155)</f>
        <v>0</v>
      </c>
      <c r="M154" s="23"/>
      <c r="N154" s="25">
        <f>SUM(N155:N155)</f>
        <v>0</v>
      </c>
      <c r="O154" s="23"/>
      <c r="P154" s="25">
        <f>SUM(P155:P155)</f>
        <v>0</v>
      </c>
      <c r="Q154" s="23"/>
      <c r="R154" s="25">
        <f>SUM(R155:R155)</f>
        <v>0</v>
      </c>
      <c r="S154" s="23"/>
      <c r="T154" s="25">
        <f>SUM(T155:T155)</f>
        <v>0</v>
      </c>
      <c r="U154" s="23"/>
      <c r="V154" s="25">
        <f>SUM(V155:V155)</f>
        <v>0</v>
      </c>
      <c r="W154" s="23"/>
      <c r="X154" s="25">
        <f>SUM(X155:X155)</f>
        <v>0</v>
      </c>
      <c r="Y154" s="23"/>
      <c r="Z154" s="25">
        <f>SUM(Z155:Z155)</f>
        <v>0</v>
      </c>
      <c r="AA154" s="23"/>
      <c r="AB154" s="25">
        <f>SUM(AB155:AB155)</f>
        <v>0</v>
      </c>
      <c r="AC154" s="23"/>
      <c r="AD154" s="25">
        <f>SUM(AD155:AD155)</f>
        <v>0</v>
      </c>
      <c r="AE154" s="130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</row>
    <row r="155" spans="2:194" ht="16.5" customHeight="1" x14ac:dyDescent="0.2">
      <c r="B155" s="24"/>
      <c r="C155" s="83" t="s">
        <v>179</v>
      </c>
      <c r="D155" s="28"/>
      <c r="E155" s="33"/>
      <c r="F155" s="30"/>
      <c r="G155" s="32"/>
      <c r="H155" s="31"/>
      <c r="I155" s="32"/>
      <c r="J155" s="31"/>
      <c r="K155" s="32"/>
      <c r="L155" s="31"/>
      <c r="M155" s="32"/>
      <c r="N155" s="31"/>
      <c r="O155" s="32"/>
      <c r="P155" s="31"/>
      <c r="Q155" s="32"/>
      <c r="R155" s="31"/>
      <c r="S155" s="32"/>
      <c r="T155" s="31"/>
      <c r="U155" s="32"/>
      <c r="V155" s="31"/>
      <c r="W155" s="32"/>
      <c r="X155" s="31"/>
      <c r="Y155" s="32"/>
      <c r="Z155" s="31"/>
      <c r="AA155" s="32"/>
      <c r="AB155" s="31"/>
      <c r="AC155" s="32"/>
      <c r="AD155" s="31"/>
      <c r="AE155" s="130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</row>
    <row r="156" spans="2:194" ht="35.25" customHeight="1" x14ac:dyDescent="0.2">
      <c r="B156" s="24">
        <v>294</v>
      </c>
      <c r="C156" s="20" t="s">
        <v>75</v>
      </c>
      <c r="D156" s="34"/>
      <c r="E156" s="19"/>
      <c r="F156" s="25">
        <f>SUM(F157:F162)</f>
        <v>0</v>
      </c>
      <c r="G156" s="39"/>
      <c r="H156" s="25">
        <f>SUM(H157:H162)</f>
        <v>0</v>
      </c>
      <c r="I156" s="40"/>
      <c r="J156" s="25">
        <f>SUM(J157:J162)</f>
        <v>0</v>
      </c>
      <c r="K156" s="40"/>
      <c r="L156" s="25">
        <f>SUM(L157:L162)</f>
        <v>0</v>
      </c>
      <c r="M156" s="40"/>
      <c r="N156" s="25">
        <f>SUM(N157:N162)</f>
        <v>0</v>
      </c>
      <c r="O156" s="40"/>
      <c r="P156" s="25">
        <f>SUM(P157:P162)</f>
        <v>0</v>
      </c>
      <c r="Q156" s="40"/>
      <c r="R156" s="25">
        <f>SUM(R157:R162)</f>
        <v>0</v>
      </c>
      <c r="S156" s="40"/>
      <c r="T156" s="25">
        <f>SUM(T157:T162)</f>
        <v>0</v>
      </c>
      <c r="U156" s="40"/>
      <c r="V156" s="25">
        <f>SUM(V157:V162)</f>
        <v>0</v>
      </c>
      <c r="W156" s="40"/>
      <c r="X156" s="25">
        <f>SUM(X157:X162)</f>
        <v>0</v>
      </c>
      <c r="Y156" s="40"/>
      <c r="Z156" s="25">
        <f>SUM(Z157:Z162)</f>
        <v>0</v>
      </c>
      <c r="AA156" s="40"/>
      <c r="AB156" s="25">
        <f>SUM(AB157:AB162)</f>
        <v>0</v>
      </c>
      <c r="AC156" s="40"/>
      <c r="AD156" s="40">
        <v>0</v>
      </c>
      <c r="AE156" s="130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</row>
    <row r="157" spans="2:194" ht="14.25" customHeight="1" x14ac:dyDescent="0.2">
      <c r="B157" s="24"/>
      <c r="C157" s="83" t="s">
        <v>160</v>
      </c>
      <c r="D157" s="28"/>
      <c r="E157" s="33"/>
      <c r="F157" s="30"/>
      <c r="G157" s="32"/>
      <c r="H157" s="31"/>
      <c r="I157" s="32"/>
      <c r="J157" s="31"/>
      <c r="K157" s="32"/>
      <c r="L157" s="31"/>
      <c r="M157" s="32"/>
      <c r="N157" s="31"/>
      <c r="O157" s="32"/>
      <c r="P157" s="31"/>
      <c r="Q157" s="32"/>
      <c r="R157" s="31"/>
      <c r="S157" s="32"/>
      <c r="T157" s="31"/>
      <c r="U157" s="32"/>
      <c r="V157" s="31"/>
      <c r="W157" s="32"/>
      <c r="X157" s="31"/>
      <c r="Y157" s="32"/>
      <c r="Z157" s="31"/>
      <c r="AA157" s="32"/>
      <c r="AB157" s="31"/>
      <c r="AC157" s="32"/>
      <c r="AD157" s="31"/>
      <c r="AE157" s="130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  <c r="FV157" s="98"/>
      <c r="FW157" s="98"/>
      <c r="FX157" s="98"/>
      <c r="FY157" s="98"/>
      <c r="FZ157" s="98"/>
      <c r="GA157" s="98"/>
      <c r="GB157" s="98"/>
      <c r="GC157" s="98"/>
      <c r="GD157" s="98"/>
      <c r="GE157" s="98"/>
      <c r="GF157" s="98"/>
      <c r="GG157" s="98"/>
      <c r="GH157" s="98"/>
      <c r="GI157" s="98"/>
      <c r="GJ157" s="98"/>
      <c r="GK157" s="98"/>
      <c r="GL157" s="98"/>
    </row>
    <row r="158" spans="2:194" ht="14.25" customHeight="1" x14ac:dyDescent="0.2">
      <c r="B158" s="24"/>
      <c r="C158" s="83" t="s">
        <v>180</v>
      </c>
      <c r="D158" s="28"/>
      <c r="E158" s="33"/>
      <c r="F158" s="30"/>
      <c r="G158" s="32"/>
      <c r="H158" s="31"/>
      <c r="I158" s="32"/>
      <c r="J158" s="31"/>
      <c r="K158" s="32"/>
      <c r="L158" s="31"/>
      <c r="M158" s="32"/>
      <c r="N158" s="31"/>
      <c r="O158" s="32"/>
      <c r="P158" s="31"/>
      <c r="Q158" s="32"/>
      <c r="R158" s="31"/>
      <c r="S158" s="32"/>
      <c r="T158" s="31"/>
      <c r="U158" s="32"/>
      <c r="V158" s="31"/>
      <c r="W158" s="32"/>
      <c r="X158" s="31"/>
      <c r="Y158" s="32"/>
      <c r="Z158" s="31"/>
      <c r="AA158" s="32"/>
      <c r="AB158" s="31"/>
      <c r="AC158" s="32"/>
      <c r="AD158" s="31"/>
      <c r="AE158" s="130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  <c r="FZ158" s="98"/>
      <c r="GA158" s="98"/>
      <c r="GB158" s="98"/>
      <c r="GC158" s="98"/>
      <c r="GD158" s="98"/>
      <c r="GE158" s="98"/>
      <c r="GF158" s="98"/>
      <c r="GG158" s="98"/>
      <c r="GH158" s="98"/>
      <c r="GI158" s="98"/>
      <c r="GJ158" s="98"/>
      <c r="GK158" s="98"/>
      <c r="GL158" s="98"/>
    </row>
    <row r="159" spans="2:194" ht="14.25" customHeight="1" x14ac:dyDescent="0.2">
      <c r="B159" s="24"/>
      <c r="C159" s="83" t="s">
        <v>181</v>
      </c>
      <c r="D159" s="28"/>
      <c r="E159" s="33"/>
      <c r="F159" s="30"/>
      <c r="G159" s="32"/>
      <c r="H159" s="31"/>
      <c r="I159" s="32"/>
      <c r="J159" s="31"/>
      <c r="K159" s="32"/>
      <c r="L159" s="31"/>
      <c r="M159" s="32"/>
      <c r="N159" s="31"/>
      <c r="O159" s="32"/>
      <c r="P159" s="31"/>
      <c r="Q159" s="32"/>
      <c r="R159" s="31"/>
      <c r="S159" s="32"/>
      <c r="T159" s="31"/>
      <c r="U159" s="32"/>
      <c r="V159" s="31"/>
      <c r="W159" s="32"/>
      <c r="X159" s="31"/>
      <c r="Y159" s="32"/>
      <c r="Z159" s="31"/>
      <c r="AA159" s="32"/>
      <c r="AB159" s="31"/>
      <c r="AC159" s="32"/>
      <c r="AD159" s="31"/>
      <c r="AE159" s="130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</row>
    <row r="160" spans="2:194" ht="14.25" customHeight="1" x14ac:dyDescent="0.2">
      <c r="B160" s="24"/>
      <c r="C160" s="83" t="s">
        <v>182</v>
      </c>
      <c r="D160" s="28"/>
      <c r="E160" s="33"/>
      <c r="F160" s="30"/>
      <c r="G160" s="32"/>
      <c r="H160" s="31"/>
      <c r="I160" s="32"/>
      <c r="J160" s="31"/>
      <c r="K160" s="32"/>
      <c r="L160" s="31"/>
      <c r="M160" s="32"/>
      <c r="N160" s="31"/>
      <c r="O160" s="32"/>
      <c r="P160" s="31"/>
      <c r="Q160" s="32"/>
      <c r="R160" s="31"/>
      <c r="S160" s="32"/>
      <c r="T160" s="31"/>
      <c r="U160" s="32"/>
      <c r="V160" s="31"/>
      <c r="W160" s="32"/>
      <c r="X160" s="31"/>
      <c r="Y160" s="32"/>
      <c r="Z160" s="31"/>
      <c r="AA160" s="32"/>
      <c r="AB160" s="31"/>
      <c r="AC160" s="32"/>
      <c r="AD160" s="31"/>
      <c r="AE160" s="130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</row>
    <row r="161" spans="2:194" ht="14.25" customHeight="1" x14ac:dyDescent="0.2">
      <c r="B161" s="24"/>
      <c r="C161" s="83" t="s">
        <v>183</v>
      </c>
      <c r="D161" s="28"/>
      <c r="E161" s="33"/>
      <c r="F161" s="30"/>
      <c r="G161" s="32"/>
      <c r="H161" s="31"/>
      <c r="I161" s="32"/>
      <c r="J161" s="31"/>
      <c r="K161" s="32"/>
      <c r="L161" s="31"/>
      <c r="M161" s="32"/>
      <c r="N161" s="31"/>
      <c r="O161" s="32"/>
      <c r="P161" s="31"/>
      <c r="Q161" s="32"/>
      <c r="R161" s="31"/>
      <c r="S161" s="32"/>
      <c r="T161" s="31"/>
      <c r="U161" s="32"/>
      <c r="V161" s="31"/>
      <c r="W161" s="32"/>
      <c r="X161" s="31"/>
      <c r="Y161" s="32"/>
      <c r="Z161" s="31"/>
      <c r="AA161" s="32"/>
      <c r="AB161" s="31"/>
      <c r="AC161" s="32"/>
      <c r="AD161" s="31"/>
      <c r="AE161" s="130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</row>
    <row r="162" spans="2:194" ht="13.5" customHeight="1" x14ac:dyDescent="0.2">
      <c r="B162" s="24"/>
      <c r="C162" s="83" t="s">
        <v>161</v>
      </c>
      <c r="D162" s="28"/>
      <c r="E162" s="33"/>
      <c r="F162" s="30"/>
      <c r="G162" s="32"/>
      <c r="H162" s="31"/>
      <c r="I162" s="32"/>
      <c r="J162" s="31"/>
      <c r="K162" s="32"/>
      <c r="L162" s="31"/>
      <c r="M162" s="32"/>
      <c r="N162" s="31"/>
      <c r="O162" s="32"/>
      <c r="P162" s="31"/>
      <c r="Q162" s="32"/>
      <c r="R162" s="31"/>
      <c r="S162" s="32"/>
      <c r="T162" s="31"/>
      <c r="U162" s="32"/>
      <c r="V162" s="31"/>
      <c r="W162" s="32"/>
      <c r="X162" s="31"/>
      <c r="Y162" s="32"/>
      <c r="Z162" s="31"/>
      <c r="AA162" s="32"/>
      <c r="AB162" s="31"/>
      <c r="AC162" s="32"/>
      <c r="AD162" s="31"/>
      <c r="AE162" s="130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</row>
    <row r="163" spans="2:194" ht="24.75" customHeight="1" x14ac:dyDescent="0.2">
      <c r="B163" s="24">
        <v>296</v>
      </c>
      <c r="C163" s="20" t="s">
        <v>76</v>
      </c>
      <c r="D163" s="28"/>
      <c r="E163" s="19"/>
      <c r="F163" s="25">
        <f>SUM(F164:F171)</f>
        <v>126945.91</v>
      </c>
      <c r="G163" s="37"/>
      <c r="H163" s="25">
        <f>SUM(H164:H173)</f>
        <v>0</v>
      </c>
      <c r="I163" s="26"/>
      <c r="J163" s="25">
        <f>SUM(J164:J173)</f>
        <v>0</v>
      </c>
      <c r="K163" s="26"/>
      <c r="L163" s="25">
        <f>SUM(L164:L173)</f>
        <v>0</v>
      </c>
      <c r="M163" s="26"/>
      <c r="N163" s="25">
        <f>SUM(N164:N173)</f>
        <v>0</v>
      </c>
      <c r="O163" s="26"/>
      <c r="P163" s="25">
        <f>SUM(P164:P173)</f>
        <v>0</v>
      </c>
      <c r="Q163" s="26"/>
      <c r="R163" s="25">
        <f>SUM(R164:R173)</f>
        <v>66720.159999999989</v>
      </c>
      <c r="S163" s="26"/>
      <c r="T163" s="25">
        <f>SUM(T164:T173)</f>
        <v>48903.29</v>
      </c>
      <c r="U163" s="26"/>
      <c r="V163" s="25">
        <f>SUM(V164:V173)</f>
        <v>11322.46</v>
      </c>
      <c r="W163" s="26"/>
      <c r="X163" s="25">
        <f>SUM(X164:X173)</f>
        <v>0</v>
      </c>
      <c r="Y163" s="26"/>
      <c r="Z163" s="25">
        <f>SUM(Z164:Z173)</f>
        <v>0</v>
      </c>
      <c r="AA163" s="26"/>
      <c r="AB163" s="25">
        <f>SUM(AB164:AB173)</f>
        <v>0</v>
      </c>
      <c r="AC163" s="26"/>
      <c r="AD163" s="25">
        <f>SUM(AD164:AD173)</f>
        <v>0</v>
      </c>
      <c r="AE163" s="130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</row>
    <row r="164" spans="2:194" ht="14.25" customHeight="1" x14ac:dyDescent="0.2">
      <c r="B164" s="24"/>
      <c r="C164" s="102" t="s">
        <v>282</v>
      </c>
      <c r="D164" s="103">
        <v>2</v>
      </c>
      <c r="E164" s="104" t="s">
        <v>35</v>
      </c>
      <c r="F164" s="106">
        <f>R164</f>
        <v>3462.48</v>
      </c>
      <c r="G164" s="107"/>
      <c r="H164" s="108"/>
      <c r="I164" s="107"/>
      <c r="J164" s="108"/>
      <c r="K164" s="107"/>
      <c r="L164" s="108"/>
      <c r="M164" s="107"/>
      <c r="N164" s="108"/>
      <c r="O164" s="107"/>
      <c r="P164" s="108"/>
      <c r="Q164" s="107">
        <v>2</v>
      </c>
      <c r="R164" s="108">
        <v>3462.48</v>
      </c>
      <c r="S164" s="107"/>
      <c r="T164" s="108"/>
      <c r="U164" s="107"/>
      <c r="V164" s="108"/>
      <c r="W164" s="107"/>
      <c r="X164" s="108"/>
      <c r="Y164" s="107"/>
      <c r="Z164" s="108"/>
      <c r="AA164" s="107"/>
      <c r="AB164" s="108"/>
      <c r="AC164" s="107"/>
      <c r="AD164" s="108"/>
      <c r="AE164" s="130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</row>
    <row r="165" spans="2:194" ht="12.75" customHeight="1" x14ac:dyDescent="0.2">
      <c r="B165" s="24"/>
      <c r="C165" s="102" t="s">
        <v>288</v>
      </c>
      <c r="D165" s="103">
        <v>2</v>
      </c>
      <c r="E165" s="104" t="s">
        <v>35</v>
      </c>
      <c r="F165" s="106">
        <f>R165</f>
        <v>6289.98</v>
      </c>
      <c r="G165" s="107"/>
      <c r="H165" s="108"/>
      <c r="I165" s="107"/>
      <c r="J165" s="108"/>
      <c r="K165" s="107"/>
      <c r="L165" s="108"/>
      <c r="M165" s="107"/>
      <c r="N165" s="108"/>
      <c r="O165" s="107"/>
      <c r="P165" s="108"/>
      <c r="Q165" s="107">
        <v>2</v>
      </c>
      <c r="R165" s="106">
        <f>6289.98</f>
        <v>6289.98</v>
      </c>
      <c r="S165" s="107"/>
      <c r="T165" s="108"/>
      <c r="U165" s="107"/>
      <c r="V165" s="108"/>
      <c r="W165" s="107"/>
      <c r="X165" s="108"/>
      <c r="Y165" s="107"/>
      <c r="Z165" s="108"/>
      <c r="AA165" s="107"/>
      <c r="AB165" s="108"/>
      <c r="AC165" s="107"/>
      <c r="AD165" s="108"/>
      <c r="AE165" s="130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  <c r="FZ165" s="98"/>
      <c r="GA165" s="98"/>
      <c r="GB165" s="98"/>
      <c r="GC165" s="98"/>
      <c r="GD165" s="98"/>
      <c r="GE165" s="98"/>
      <c r="GF165" s="98"/>
      <c r="GG165" s="98"/>
      <c r="GH165" s="98"/>
      <c r="GI165" s="98"/>
      <c r="GJ165" s="98"/>
      <c r="GK165" s="98"/>
      <c r="GL165" s="98"/>
    </row>
    <row r="166" spans="2:194" ht="15.75" customHeight="1" x14ac:dyDescent="0.2">
      <c r="B166" s="24"/>
      <c r="C166" s="102" t="s">
        <v>283</v>
      </c>
      <c r="D166" s="103">
        <v>15</v>
      </c>
      <c r="E166" s="104" t="s">
        <v>35</v>
      </c>
      <c r="F166" s="106">
        <f>R166+T166</f>
        <v>33966.19</v>
      </c>
      <c r="G166" s="107"/>
      <c r="H166" s="108"/>
      <c r="I166" s="107"/>
      <c r="J166" s="108"/>
      <c r="K166" s="107"/>
      <c r="L166" s="108"/>
      <c r="M166" s="107"/>
      <c r="N166" s="108"/>
      <c r="O166" s="107"/>
      <c r="P166" s="108"/>
      <c r="Q166" s="107">
        <v>8</v>
      </c>
      <c r="R166" s="108">
        <v>18115.3</v>
      </c>
      <c r="S166" s="107">
        <v>7</v>
      </c>
      <c r="T166" s="108">
        <v>15850.89</v>
      </c>
      <c r="U166" s="107"/>
      <c r="V166" s="108"/>
      <c r="W166" s="107"/>
      <c r="X166" s="108"/>
      <c r="Y166" s="107"/>
      <c r="Z166" s="108"/>
      <c r="AA166" s="107"/>
      <c r="AB166" s="108"/>
      <c r="AC166" s="107"/>
      <c r="AD166" s="108"/>
      <c r="AE166" s="130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  <c r="FZ166" s="98"/>
      <c r="GA166" s="98"/>
      <c r="GB166" s="98"/>
      <c r="GC166" s="98"/>
      <c r="GD166" s="98"/>
      <c r="GE166" s="98"/>
      <c r="GF166" s="98"/>
      <c r="GG166" s="98"/>
      <c r="GH166" s="98"/>
      <c r="GI166" s="98"/>
      <c r="GJ166" s="98"/>
      <c r="GK166" s="98"/>
      <c r="GL166" s="98"/>
    </row>
    <row r="167" spans="2:194" ht="14.25" customHeight="1" x14ac:dyDescent="0.2">
      <c r="B167" s="24"/>
      <c r="C167" s="102" t="s">
        <v>284</v>
      </c>
      <c r="D167" s="103">
        <v>2</v>
      </c>
      <c r="E167" s="104" t="s">
        <v>35</v>
      </c>
      <c r="F167" s="106">
        <f>R167</f>
        <v>5800</v>
      </c>
      <c r="G167" s="107"/>
      <c r="H167" s="108"/>
      <c r="I167" s="107"/>
      <c r="J167" s="108"/>
      <c r="K167" s="107"/>
      <c r="L167" s="108"/>
      <c r="M167" s="107"/>
      <c r="N167" s="108"/>
      <c r="O167" s="107"/>
      <c r="P167" s="108"/>
      <c r="Q167" s="107">
        <v>2</v>
      </c>
      <c r="R167" s="108">
        <v>5800</v>
      </c>
      <c r="S167" s="107"/>
      <c r="T167" s="108"/>
      <c r="U167" s="107"/>
      <c r="V167" s="108"/>
      <c r="W167" s="107"/>
      <c r="X167" s="108"/>
      <c r="Y167" s="107"/>
      <c r="Z167" s="108"/>
      <c r="AA167" s="107"/>
      <c r="AB167" s="108"/>
      <c r="AC167" s="107"/>
      <c r="AD167" s="108"/>
      <c r="AE167" s="130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</row>
    <row r="168" spans="2:194" ht="15.75" customHeight="1" x14ac:dyDescent="0.2">
      <c r="B168" s="24"/>
      <c r="C168" s="102" t="s">
        <v>285</v>
      </c>
      <c r="D168" s="103">
        <v>8</v>
      </c>
      <c r="E168" s="104" t="s">
        <v>35</v>
      </c>
      <c r="F168" s="106">
        <f>R168+T168</f>
        <v>22519.96</v>
      </c>
      <c r="G168" s="107"/>
      <c r="H168" s="108"/>
      <c r="I168" s="107"/>
      <c r="J168" s="108"/>
      <c r="K168" s="107"/>
      <c r="L168" s="108"/>
      <c r="M168" s="107"/>
      <c r="N168" s="108"/>
      <c r="O168" s="107"/>
      <c r="P168" s="108"/>
      <c r="Q168" s="107">
        <v>4</v>
      </c>
      <c r="R168" s="108">
        <v>11259.98</v>
      </c>
      <c r="S168" s="107">
        <v>4</v>
      </c>
      <c r="T168" s="108">
        <v>11259.98</v>
      </c>
      <c r="U168" s="107"/>
      <c r="V168" s="108"/>
      <c r="W168" s="107"/>
      <c r="X168" s="108"/>
      <c r="Y168" s="107"/>
      <c r="Z168" s="108"/>
      <c r="AA168" s="107"/>
      <c r="AB168" s="108"/>
      <c r="AC168" s="107"/>
      <c r="AD168" s="108"/>
      <c r="AE168" s="130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  <c r="FZ168" s="98"/>
      <c r="GA168" s="98"/>
      <c r="GB168" s="98"/>
      <c r="GC168" s="98"/>
      <c r="GD168" s="98"/>
      <c r="GE168" s="98"/>
      <c r="GF168" s="98"/>
      <c r="GG168" s="98"/>
      <c r="GH168" s="98"/>
      <c r="GI168" s="98"/>
      <c r="GJ168" s="98"/>
      <c r="GK168" s="98"/>
      <c r="GL168" s="98"/>
    </row>
    <row r="169" spans="2:194" ht="13.5" customHeight="1" x14ac:dyDescent="0.2">
      <c r="B169" s="24"/>
      <c r="C169" s="102" t="s">
        <v>286</v>
      </c>
      <c r="D169" s="103">
        <v>14</v>
      </c>
      <c r="E169" s="104" t="s">
        <v>35</v>
      </c>
      <c r="F169" s="106">
        <f>R169+T169</f>
        <v>11235</v>
      </c>
      <c r="G169" s="107"/>
      <c r="H169" s="108"/>
      <c r="I169" s="107"/>
      <c r="J169" s="108"/>
      <c r="K169" s="107"/>
      <c r="L169" s="108"/>
      <c r="M169" s="107"/>
      <c r="N169" s="108"/>
      <c r="O169" s="107"/>
      <c r="P169" s="108"/>
      <c r="Q169" s="107">
        <v>7</v>
      </c>
      <c r="R169" s="108">
        <v>5617.5</v>
      </c>
      <c r="S169" s="107">
        <v>7</v>
      </c>
      <c r="T169" s="108">
        <v>5617.5</v>
      </c>
      <c r="U169" s="107"/>
      <c r="V169" s="108"/>
      <c r="W169" s="107"/>
      <c r="X169" s="108"/>
      <c r="Y169" s="107"/>
      <c r="Z169" s="108"/>
      <c r="AA169" s="107"/>
      <c r="AB169" s="108"/>
      <c r="AC169" s="107"/>
      <c r="AD169" s="108"/>
      <c r="AE169" s="130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  <c r="GF169" s="98"/>
      <c r="GG169" s="98"/>
      <c r="GH169" s="98"/>
      <c r="GI169" s="98"/>
      <c r="GJ169" s="98"/>
      <c r="GK169" s="98"/>
      <c r="GL169" s="98"/>
    </row>
    <row r="170" spans="2:194" ht="14.25" customHeight="1" x14ac:dyDescent="0.2">
      <c r="B170" s="24"/>
      <c r="C170" s="102" t="s">
        <v>287</v>
      </c>
      <c r="D170" s="103">
        <v>27</v>
      </c>
      <c r="E170" s="104" t="s">
        <v>35</v>
      </c>
      <c r="F170" s="106">
        <f>R170+T170+V170</f>
        <v>43672.3</v>
      </c>
      <c r="G170" s="107"/>
      <c r="H170" s="108"/>
      <c r="I170" s="107"/>
      <c r="J170" s="108"/>
      <c r="K170" s="107"/>
      <c r="L170" s="108"/>
      <c r="M170" s="107"/>
      <c r="N170" s="108"/>
      <c r="O170" s="107"/>
      <c r="P170" s="108"/>
      <c r="Q170" s="107">
        <v>10</v>
      </c>
      <c r="R170" s="108">
        <v>16174.92</v>
      </c>
      <c r="S170" s="107">
        <v>10</v>
      </c>
      <c r="T170" s="108">
        <v>16174.92</v>
      </c>
      <c r="U170" s="107">
        <v>7</v>
      </c>
      <c r="V170" s="108">
        <v>11322.46</v>
      </c>
      <c r="W170" s="107"/>
      <c r="X170" s="108"/>
      <c r="Y170" s="107"/>
      <c r="Z170" s="108"/>
      <c r="AA170" s="107"/>
      <c r="AB170" s="108"/>
      <c r="AC170" s="107"/>
      <c r="AD170" s="108"/>
      <c r="AE170" s="130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</row>
    <row r="171" spans="2:194" ht="14.25" customHeight="1" x14ac:dyDescent="0.2">
      <c r="B171" s="24"/>
      <c r="C171" s="83"/>
      <c r="D171" s="28"/>
      <c r="E171" s="33"/>
      <c r="F171" s="30"/>
      <c r="G171" s="32"/>
      <c r="H171" s="31"/>
      <c r="I171" s="32"/>
      <c r="J171" s="31"/>
      <c r="K171" s="32"/>
      <c r="L171" s="31"/>
      <c r="M171" s="32"/>
      <c r="N171" s="31"/>
      <c r="O171" s="32"/>
      <c r="P171" s="31"/>
      <c r="Q171" s="32"/>
      <c r="R171" s="31"/>
      <c r="S171" s="32"/>
      <c r="T171" s="31"/>
      <c r="U171" s="32"/>
      <c r="V171" s="31"/>
      <c r="W171" s="32"/>
      <c r="X171" s="31"/>
      <c r="Y171" s="32"/>
      <c r="Z171" s="31"/>
      <c r="AA171" s="32"/>
      <c r="AB171" s="31"/>
      <c r="AC171" s="32"/>
      <c r="AD171" s="31"/>
      <c r="AE171" s="130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</row>
    <row r="172" spans="2:194" ht="14.25" customHeight="1" x14ac:dyDescent="0.2">
      <c r="B172" s="24"/>
      <c r="C172" s="83"/>
      <c r="D172" s="28"/>
      <c r="E172" s="33"/>
      <c r="F172" s="30"/>
      <c r="G172" s="32"/>
      <c r="H172" s="31"/>
      <c r="I172" s="32"/>
      <c r="J172" s="31"/>
      <c r="K172" s="32"/>
      <c r="L172" s="31"/>
      <c r="M172" s="32"/>
      <c r="N172" s="31"/>
      <c r="O172" s="32"/>
      <c r="P172" s="31"/>
      <c r="Q172" s="32"/>
      <c r="R172" s="31"/>
      <c r="S172" s="32"/>
      <c r="T172" s="31"/>
      <c r="U172" s="32"/>
      <c r="V172" s="31"/>
      <c r="W172" s="32"/>
      <c r="X172" s="31"/>
      <c r="Y172" s="32"/>
      <c r="Z172" s="31"/>
      <c r="AA172" s="32"/>
      <c r="AB172" s="31"/>
      <c r="AC172" s="32"/>
      <c r="AD172" s="31"/>
      <c r="AE172" s="130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</row>
    <row r="173" spans="2:194" ht="12.75" customHeight="1" x14ac:dyDescent="0.2">
      <c r="B173" s="24"/>
      <c r="C173" s="83"/>
      <c r="D173" s="28"/>
      <c r="E173" s="33"/>
      <c r="F173" s="30"/>
      <c r="G173" s="32"/>
      <c r="H173" s="31"/>
      <c r="I173" s="32"/>
      <c r="J173" s="31"/>
      <c r="K173" s="32"/>
      <c r="L173" s="31"/>
      <c r="M173" s="32"/>
      <c r="N173" s="31"/>
      <c r="O173" s="32"/>
      <c r="P173" s="31"/>
      <c r="Q173" s="32"/>
      <c r="R173" s="31"/>
      <c r="S173" s="32"/>
      <c r="T173" s="31"/>
      <c r="U173" s="32"/>
      <c r="V173" s="31"/>
      <c r="W173" s="32"/>
      <c r="X173" s="31"/>
      <c r="Y173" s="32"/>
      <c r="Z173" s="31"/>
      <c r="AA173" s="32"/>
      <c r="AB173" s="31"/>
      <c r="AC173" s="32"/>
      <c r="AD173" s="31"/>
      <c r="AE173" s="130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</row>
    <row r="174" spans="2:194" ht="22.5" customHeight="1" x14ac:dyDescent="0.2">
      <c r="B174" s="43">
        <v>299</v>
      </c>
      <c r="C174" s="13" t="s">
        <v>77</v>
      </c>
      <c r="D174" s="34"/>
      <c r="E174" s="19"/>
      <c r="F174" s="25">
        <f>SUM(F175:F175)</f>
        <v>0</v>
      </c>
      <c r="G174" s="39"/>
      <c r="H174" s="25">
        <f>SUM(H175:H175)</f>
        <v>0</v>
      </c>
      <c r="I174" s="40"/>
      <c r="J174" s="25">
        <f>SUM(J175:J175)</f>
        <v>0</v>
      </c>
      <c r="K174" s="40"/>
      <c r="L174" s="25">
        <f>SUM(L175:L175)</f>
        <v>0</v>
      </c>
      <c r="M174" s="40"/>
      <c r="N174" s="25">
        <f>SUM(N175:N175)</f>
        <v>0</v>
      </c>
      <c r="O174" s="40"/>
      <c r="P174" s="25">
        <f>SUM(P175:P175)</f>
        <v>0</v>
      </c>
      <c r="Q174" s="40"/>
      <c r="R174" s="25">
        <f>SUM(R175:R175)</f>
        <v>0</v>
      </c>
      <c r="S174" s="40"/>
      <c r="T174" s="25">
        <f>SUM(T175:T175)</f>
        <v>0</v>
      </c>
      <c r="U174" s="40"/>
      <c r="V174" s="25">
        <f>SUM(V175:V175)</f>
        <v>0</v>
      </c>
      <c r="W174" s="40"/>
      <c r="X174" s="25">
        <f>SUM(X175:X175)</f>
        <v>0</v>
      </c>
      <c r="Y174" s="25"/>
      <c r="Z174" s="25">
        <f>SUM(Z175:Z175)</f>
        <v>0</v>
      </c>
      <c r="AA174" s="40"/>
      <c r="AB174" s="25">
        <f>SUM(AB175:AB175)</f>
        <v>0</v>
      </c>
      <c r="AC174" s="40"/>
      <c r="AD174" s="25">
        <f>SUM(AD175:AD175)</f>
        <v>0</v>
      </c>
      <c r="AE174" s="130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  <c r="FZ174" s="98"/>
      <c r="GA174" s="98"/>
      <c r="GB174" s="98"/>
      <c r="GC174" s="98"/>
      <c r="GD174" s="98"/>
      <c r="GE174" s="98"/>
      <c r="GF174" s="98"/>
      <c r="GG174" s="98"/>
      <c r="GH174" s="98"/>
      <c r="GI174" s="98"/>
      <c r="GJ174" s="98"/>
      <c r="GK174" s="98"/>
      <c r="GL174" s="98"/>
    </row>
    <row r="175" spans="2:194" ht="14.25" customHeight="1" x14ac:dyDescent="0.2">
      <c r="B175" s="24"/>
      <c r="C175" s="83" t="s">
        <v>143</v>
      </c>
      <c r="D175" s="34"/>
      <c r="E175" s="33"/>
      <c r="F175" s="35"/>
      <c r="G175" s="42"/>
      <c r="H175" s="36"/>
      <c r="I175" s="42"/>
      <c r="J175" s="36"/>
      <c r="K175" s="42"/>
      <c r="L175" s="36"/>
      <c r="M175" s="42"/>
      <c r="N175" s="36"/>
      <c r="O175" s="42"/>
      <c r="P175" s="36"/>
      <c r="Q175" s="42"/>
      <c r="R175" s="36"/>
      <c r="S175" s="42"/>
      <c r="T175" s="36"/>
      <c r="U175" s="42"/>
      <c r="V175" s="36"/>
      <c r="W175" s="42"/>
      <c r="X175" s="36"/>
      <c r="Y175" s="42"/>
      <c r="Z175" s="36"/>
      <c r="AA175" s="42"/>
      <c r="AB175" s="36"/>
      <c r="AC175" s="42"/>
      <c r="AD175" s="36"/>
      <c r="AE175" s="130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  <c r="FV175" s="98"/>
      <c r="FW175" s="98"/>
      <c r="FX175" s="98"/>
      <c r="FY175" s="98"/>
      <c r="FZ175" s="98"/>
      <c r="GA175" s="98"/>
      <c r="GB175" s="98"/>
      <c r="GC175" s="98"/>
      <c r="GD175" s="98"/>
      <c r="GE175" s="98"/>
      <c r="GF175" s="98"/>
      <c r="GG175" s="98"/>
      <c r="GH175" s="98"/>
      <c r="GI175" s="98"/>
      <c r="GJ175" s="98"/>
      <c r="GK175" s="98"/>
      <c r="GL175" s="98"/>
    </row>
    <row r="176" spans="2:194" ht="17.25" customHeight="1" x14ac:dyDescent="0.2">
      <c r="B176" s="20">
        <v>3000</v>
      </c>
      <c r="C176" s="20" t="s">
        <v>78</v>
      </c>
      <c r="D176" s="34"/>
      <c r="E176" s="52"/>
      <c r="F176" s="41"/>
      <c r="G176" s="39"/>
      <c r="H176" s="41"/>
      <c r="I176" s="39"/>
      <c r="J176" s="41"/>
      <c r="K176" s="39"/>
      <c r="L176" s="41"/>
      <c r="M176" s="39"/>
      <c r="N176" s="41"/>
      <c r="O176" s="39"/>
      <c r="P176" s="41"/>
      <c r="Q176" s="39"/>
      <c r="R176" s="41"/>
      <c r="S176" s="39"/>
      <c r="T176" s="41"/>
      <c r="U176" s="39"/>
      <c r="V176" s="41"/>
      <c r="W176" s="39"/>
      <c r="X176" s="41"/>
      <c r="Y176" s="39"/>
      <c r="Z176" s="41"/>
      <c r="AA176" s="39"/>
      <c r="AB176" s="41"/>
      <c r="AC176" s="39"/>
      <c r="AD176" s="41"/>
      <c r="AE176" s="130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  <c r="GF176" s="98"/>
      <c r="GG176" s="98"/>
      <c r="GH176" s="98"/>
      <c r="GI176" s="98"/>
      <c r="GJ176" s="98"/>
      <c r="GK176" s="98"/>
      <c r="GL176" s="98"/>
    </row>
    <row r="177" spans="1:194" ht="12.75" customHeight="1" x14ac:dyDescent="0.2">
      <c r="B177" s="19">
        <v>3100</v>
      </c>
      <c r="C177" s="20" t="s">
        <v>79</v>
      </c>
      <c r="D177" s="34"/>
      <c r="E177" s="52"/>
      <c r="F177" s="41"/>
      <c r="G177" s="39"/>
      <c r="H177" s="41"/>
      <c r="I177" s="39"/>
      <c r="J177" s="41"/>
      <c r="K177" s="39"/>
      <c r="L177" s="41"/>
      <c r="M177" s="39"/>
      <c r="N177" s="41"/>
      <c r="O177" s="39"/>
      <c r="P177" s="41"/>
      <c r="Q177" s="39"/>
      <c r="R177" s="41"/>
      <c r="S177" s="39"/>
      <c r="T177" s="41"/>
      <c r="U177" s="39"/>
      <c r="V177" s="41"/>
      <c r="W177" s="39"/>
      <c r="X177" s="41"/>
      <c r="Y177" s="39"/>
      <c r="Z177" s="41"/>
      <c r="AA177" s="39"/>
      <c r="AB177" s="41"/>
      <c r="AC177" s="39"/>
      <c r="AD177" s="41"/>
      <c r="AE177" s="130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8"/>
      <c r="GK177" s="98"/>
      <c r="GL177" s="98"/>
    </row>
    <row r="178" spans="1:194" ht="13.5" customHeight="1" x14ac:dyDescent="0.2">
      <c r="B178" s="24">
        <v>311</v>
      </c>
      <c r="C178" s="20" t="s">
        <v>80</v>
      </c>
      <c r="D178" s="34"/>
      <c r="E178" s="19"/>
      <c r="F178" s="25">
        <f>SUM(F179)</f>
        <v>0</v>
      </c>
      <c r="G178" s="39"/>
      <c r="H178" s="40">
        <f>H179</f>
        <v>0</v>
      </c>
      <c r="I178" s="40"/>
      <c r="J178" s="40">
        <f t="shared" ref="J178:AD178" si="63">J179</f>
        <v>0</v>
      </c>
      <c r="K178" s="40"/>
      <c r="L178" s="40">
        <f t="shared" si="63"/>
        <v>0</v>
      </c>
      <c r="M178" s="40"/>
      <c r="N178" s="40">
        <f t="shared" si="63"/>
        <v>0</v>
      </c>
      <c r="O178" s="40"/>
      <c r="P178" s="40">
        <f t="shared" si="63"/>
        <v>0</v>
      </c>
      <c r="Q178" s="40"/>
      <c r="R178" s="40">
        <f t="shared" si="63"/>
        <v>0</v>
      </c>
      <c r="S178" s="40"/>
      <c r="T178" s="40">
        <f t="shared" si="63"/>
        <v>0</v>
      </c>
      <c r="U178" s="40"/>
      <c r="V178" s="40">
        <f t="shared" si="63"/>
        <v>0</v>
      </c>
      <c r="W178" s="40"/>
      <c r="X178" s="40">
        <f t="shared" si="63"/>
        <v>0</v>
      </c>
      <c r="Y178" s="40"/>
      <c r="Z178" s="40">
        <f t="shared" si="63"/>
        <v>0</v>
      </c>
      <c r="AA178" s="40"/>
      <c r="AB178" s="40">
        <f t="shared" si="63"/>
        <v>0</v>
      </c>
      <c r="AC178" s="40"/>
      <c r="AD178" s="40">
        <f t="shared" si="63"/>
        <v>0</v>
      </c>
      <c r="AE178" s="130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  <c r="FZ178" s="98"/>
      <c r="GA178" s="98"/>
      <c r="GB178" s="98"/>
      <c r="GC178" s="98"/>
      <c r="GD178" s="98"/>
      <c r="GE178" s="98"/>
      <c r="GF178" s="98"/>
      <c r="GG178" s="98"/>
      <c r="GH178" s="98"/>
      <c r="GI178" s="98"/>
      <c r="GJ178" s="98"/>
      <c r="GK178" s="98"/>
      <c r="GL178" s="98"/>
    </row>
    <row r="179" spans="1:194" ht="24.75" customHeight="1" x14ac:dyDescent="0.2">
      <c r="B179" s="24"/>
      <c r="C179" s="102" t="s">
        <v>81</v>
      </c>
      <c r="D179" s="119">
        <v>2263070.3199999998</v>
      </c>
      <c r="E179" s="104" t="s">
        <v>86</v>
      </c>
      <c r="F179" s="30"/>
      <c r="G179" s="32"/>
      <c r="H179" s="53"/>
      <c r="I179" s="32"/>
      <c r="J179" s="53"/>
      <c r="K179" s="32"/>
      <c r="L179" s="53"/>
      <c r="M179" s="32"/>
      <c r="N179" s="53"/>
      <c r="O179" s="32"/>
      <c r="P179" s="53"/>
      <c r="Q179" s="32"/>
      <c r="R179" s="53"/>
      <c r="S179" s="32"/>
      <c r="T179" s="53"/>
      <c r="U179" s="32"/>
      <c r="V179" s="53"/>
      <c r="W179" s="32"/>
      <c r="X179" s="53"/>
      <c r="Y179" s="32"/>
      <c r="Z179" s="53"/>
      <c r="AA179" s="32"/>
      <c r="AB179" s="53"/>
      <c r="AC179" s="32"/>
      <c r="AD179" s="53"/>
      <c r="AE179" s="130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  <c r="DG179" s="98"/>
      <c r="DH179" s="98"/>
      <c r="DI179" s="98"/>
      <c r="DJ179" s="98"/>
      <c r="DK179" s="98"/>
      <c r="DL179" s="98"/>
      <c r="DM179" s="98"/>
      <c r="DN179" s="98"/>
      <c r="DO179" s="98"/>
      <c r="DP179" s="98"/>
      <c r="DQ179" s="98"/>
      <c r="DR179" s="98"/>
      <c r="DS179" s="98"/>
      <c r="DT179" s="98"/>
      <c r="DU179" s="98"/>
      <c r="DV179" s="98"/>
      <c r="DW179" s="98"/>
      <c r="DX179" s="98"/>
      <c r="DY179" s="98"/>
      <c r="DZ179" s="98"/>
      <c r="EA179" s="98"/>
      <c r="EB179" s="98"/>
      <c r="EC179" s="98"/>
      <c r="ED179" s="98"/>
      <c r="EE179" s="98"/>
      <c r="EF179" s="98"/>
      <c r="EG179" s="98"/>
      <c r="EH179" s="98"/>
      <c r="EI179" s="98"/>
      <c r="EJ179" s="98"/>
      <c r="EK179" s="98"/>
      <c r="EL179" s="98"/>
      <c r="EM179" s="98"/>
      <c r="EN179" s="98"/>
      <c r="EO179" s="98"/>
      <c r="EP179" s="98"/>
      <c r="EQ179" s="98"/>
      <c r="ER179" s="98"/>
      <c r="ES179" s="98"/>
      <c r="ET179" s="98"/>
      <c r="EU179" s="98"/>
      <c r="EV179" s="98"/>
      <c r="EW179" s="98"/>
      <c r="EX179" s="98"/>
      <c r="EY179" s="98"/>
      <c r="EZ179" s="98"/>
      <c r="FA179" s="98"/>
      <c r="FB179" s="98"/>
      <c r="FC179" s="98"/>
      <c r="FD179" s="98"/>
      <c r="FE179" s="98"/>
      <c r="FF179" s="98"/>
      <c r="FG179" s="98"/>
      <c r="FH179" s="98"/>
      <c r="FI179" s="98"/>
      <c r="FJ179" s="98"/>
      <c r="FK179" s="98"/>
      <c r="FL179" s="98"/>
      <c r="FM179" s="98"/>
      <c r="FN179" s="98"/>
      <c r="FO179" s="98"/>
      <c r="FP179" s="98"/>
      <c r="FQ179" s="98"/>
      <c r="FR179" s="98"/>
      <c r="FS179" s="98"/>
      <c r="FT179" s="98"/>
      <c r="FU179" s="98"/>
      <c r="FV179" s="98"/>
      <c r="FW179" s="98"/>
      <c r="FX179" s="98"/>
      <c r="FY179" s="98"/>
      <c r="FZ179" s="98"/>
      <c r="GA179" s="98"/>
      <c r="GB179" s="98"/>
      <c r="GC179" s="98"/>
      <c r="GD179" s="98"/>
      <c r="GE179" s="98"/>
      <c r="GF179" s="98"/>
      <c r="GG179" s="98"/>
      <c r="GH179" s="98"/>
      <c r="GI179" s="98"/>
      <c r="GJ179" s="98"/>
      <c r="GK179" s="98"/>
      <c r="GL179" s="98"/>
    </row>
    <row r="180" spans="1:194" ht="13.5" customHeight="1" x14ac:dyDescent="0.2">
      <c r="B180" s="24">
        <v>313</v>
      </c>
      <c r="C180" s="20" t="s">
        <v>82</v>
      </c>
      <c r="D180" s="34"/>
      <c r="E180" s="19"/>
      <c r="F180" s="25">
        <f>F181</f>
        <v>0</v>
      </c>
      <c r="G180" s="39"/>
      <c r="H180" s="40">
        <f>H181</f>
        <v>0</v>
      </c>
      <c r="I180" s="39" t="s">
        <v>42</v>
      </c>
      <c r="J180" s="41">
        <f>J181</f>
        <v>0</v>
      </c>
      <c r="K180" s="39" t="s">
        <v>42</v>
      </c>
      <c r="L180" s="41">
        <f>L181</f>
        <v>0</v>
      </c>
      <c r="M180" s="39" t="s">
        <v>42</v>
      </c>
      <c r="N180" s="41">
        <f>N181</f>
        <v>0</v>
      </c>
      <c r="O180" s="39" t="s">
        <v>42</v>
      </c>
      <c r="P180" s="41">
        <f>P181</f>
        <v>0</v>
      </c>
      <c r="Q180" s="39" t="s">
        <v>42</v>
      </c>
      <c r="R180" s="41">
        <f>R181</f>
        <v>0</v>
      </c>
      <c r="S180" s="39" t="s">
        <v>42</v>
      </c>
      <c r="T180" s="41">
        <f>T181</f>
        <v>0</v>
      </c>
      <c r="U180" s="39" t="s">
        <v>42</v>
      </c>
      <c r="V180" s="41">
        <f>V181</f>
        <v>0</v>
      </c>
      <c r="W180" s="39" t="s">
        <v>42</v>
      </c>
      <c r="X180" s="41">
        <f>X181</f>
        <v>0</v>
      </c>
      <c r="Y180" s="39" t="s">
        <v>42</v>
      </c>
      <c r="Z180" s="41">
        <f>Z181</f>
        <v>0</v>
      </c>
      <c r="AA180" s="39" t="s">
        <v>42</v>
      </c>
      <c r="AB180" s="41">
        <f>AB181</f>
        <v>0</v>
      </c>
      <c r="AC180" s="39" t="s">
        <v>42</v>
      </c>
      <c r="AD180" s="41">
        <f>AD181</f>
        <v>0</v>
      </c>
      <c r="AE180" s="130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  <c r="FZ180" s="98"/>
      <c r="GA180" s="98"/>
      <c r="GB180" s="98"/>
      <c r="GC180" s="98"/>
      <c r="GD180" s="98"/>
      <c r="GE180" s="98"/>
      <c r="GF180" s="98"/>
      <c r="GG180" s="98"/>
      <c r="GH180" s="98"/>
      <c r="GI180" s="98"/>
      <c r="GJ180" s="98"/>
      <c r="GK180" s="98"/>
      <c r="GL180" s="98"/>
    </row>
    <row r="181" spans="1:194" ht="15" customHeight="1" x14ac:dyDescent="0.2">
      <c r="B181" s="24"/>
      <c r="C181" s="102" t="s">
        <v>83</v>
      </c>
      <c r="D181" s="119">
        <v>24494.36</v>
      </c>
      <c r="E181" s="104" t="s">
        <v>147</v>
      </c>
      <c r="F181" s="30"/>
      <c r="G181" s="32"/>
      <c r="H181" s="53"/>
      <c r="I181" s="32"/>
      <c r="J181" s="53"/>
      <c r="K181" s="32"/>
      <c r="L181" s="53"/>
      <c r="M181" s="32"/>
      <c r="N181" s="53"/>
      <c r="O181" s="32"/>
      <c r="P181" s="53"/>
      <c r="Q181" s="32"/>
      <c r="R181" s="53"/>
      <c r="S181" s="32"/>
      <c r="T181" s="53"/>
      <c r="U181" s="32"/>
      <c r="V181" s="53"/>
      <c r="W181" s="32"/>
      <c r="X181" s="53"/>
      <c r="Y181" s="32"/>
      <c r="Z181" s="53"/>
      <c r="AA181" s="32"/>
      <c r="AB181" s="53"/>
      <c r="AC181" s="32"/>
      <c r="AD181" s="53"/>
      <c r="AE181" s="130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  <c r="ET181" s="98"/>
      <c r="EU181" s="98"/>
      <c r="EV181" s="98"/>
      <c r="EW181" s="98"/>
      <c r="EX181" s="98"/>
      <c r="EY181" s="98"/>
      <c r="EZ181" s="98"/>
      <c r="FA181" s="98"/>
      <c r="FB181" s="98"/>
      <c r="FC181" s="98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  <c r="FV181" s="98"/>
      <c r="FW181" s="98"/>
      <c r="FX181" s="98"/>
      <c r="FY181" s="98"/>
      <c r="FZ181" s="98"/>
      <c r="GA181" s="98"/>
      <c r="GB181" s="98"/>
      <c r="GC181" s="98"/>
      <c r="GD181" s="98"/>
      <c r="GE181" s="98"/>
      <c r="GF181" s="98"/>
      <c r="GG181" s="98"/>
      <c r="GH181" s="98"/>
      <c r="GI181" s="98"/>
      <c r="GJ181" s="98"/>
      <c r="GK181" s="98"/>
      <c r="GL181" s="98"/>
    </row>
    <row r="182" spans="1:194" ht="12.75" customHeight="1" x14ac:dyDescent="0.2">
      <c r="B182" s="24">
        <v>314</v>
      </c>
      <c r="C182" s="20" t="s">
        <v>84</v>
      </c>
      <c r="D182" s="28"/>
      <c r="E182" s="19"/>
      <c r="F182" s="25">
        <f>F183</f>
        <v>0</v>
      </c>
      <c r="G182" s="37"/>
      <c r="H182" s="26">
        <f>H183</f>
        <v>0</v>
      </c>
      <c r="I182" s="26"/>
      <c r="J182" s="26">
        <f t="shared" ref="J182:AD184" si="64">J183</f>
        <v>0</v>
      </c>
      <c r="K182" s="26"/>
      <c r="L182" s="26">
        <f t="shared" si="64"/>
        <v>0</v>
      </c>
      <c r="M182" s="26"/>
      <c r="N182" s="26">
        <f t="shared" si="64"/>
        <v>0</v>
      </c>
      <c r="O182" s="26"/>
      <c r="P182" s="26">
        <f t="shared" si="64"/>
        <v>0</v>
      </c>
      <c r="Q182" s="26"/>
      <c r="R182" s="26">
        <f t="shared" si="64"/>
        <v>0</v>
      </c>
      <c r="S182" s="26"/>
      <c r="T182" s="26">
        <f t="shared" si="64"/>
        <v>0</v>
      </c>
      <c r="U182" s="26"/>
      <c r="V182" s="26">
        <f t="shared" si="64"/>
        <v>0</v>
      </c>
      <c r="W182" s="26"/>
      <c r="X182" s="26">
        <f t="shared" si="64"/>
        <v>0</v>
      </c>
      <c r="Y182" s="26"/>
      <c r="Z182" s="26">
        <f t="shared" si="64"/>
        <v>0</v>
      </c>
      <c r="AA182" s="26"/>
      <c r="AB182" s="26">
        <f t="shared" si="64"/>
        <v>0</v>
      </c>
      <c r="AC182" s="26"/>
      <c r="AD182" s="26">
        <f t="shared" si="64"/>
        <v>0</v>
      </c>
      <c r="AE182" s="130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  <c r="FZ182" s="98"/>
      <c r="GA182" s="98"/>
      <c r="GB182" s="98"/>
      <c r="GC182" s="98"/>
      <c r="GD182" s="98"/>
      <c r="GE182" s="98"/>
      <c r="GF182" s="98"/>
      <c r="GG182" s="98"/>
      <c r="GH182" s="98"/>
      <c r="GI182" s="98"/>
      <c r="GJ182" s="98"/>
      <c r="GK182" s="98"/>
      <c r="GL182" s="98"/>
    </row>
    <row r="183" spans="1:194" ht="14.25" customHeight="1" x14ac:dyDescent="0.2">
      <c r="B183" s="24"/>
      <c r="C183" s="102" t="s">
        <v>85</v>
      </c>
      <c r="D183" s="103">
        <v>101443.13</v>
      </c>
      <c r="E183" s="104" t="s">
        <v>86</v>
      </c>
      <c r="F183" s="30"/>
      <c r="G183" s="32"/>
      <c r="H183" s="53"/>
      <c r="I183" s="32"/>
      <c r="J183" s="53"/>
      <c r="K183" s="32"/>
      <c r="L183" s="53"/>
      <c r="M183" s="32"/>
      <c r="N183" s="53"/>
      <c r="O183" s="32"/>
      <c r="P183" s="53"/>
      <c r="Q183" s="32"/>
      <c r="R183" s="53"/>
      <c r="S183" s="32"/>
      <c r="T183" s="53"/>
      <c r="U183" s="32"/>
      <c r="V183" s="53"/>
      <c r="W183" s="32"/>
      <c r="X183" s="53"/>
      <c r="Y183" s="32"/>
      <c r="Z183" s="53"/>
      <c r="AA183" s="32"/>
      <c r="AB183" s="53"/>
      <c r="AC183" s="32"/>
      <c r="AD183" s="53"/>
      <c r="AE183" s="130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8"/>
      <c r="FH183" s="98"/>
      <c r="FI183" s="98"/>
      <c r="FJ183" s="98"/>
      <c r="FK183" s="98"/>
      <c r="FL183" s="98"/>
      <c r="FM183" s="98"/>
      <c r="FN183" s="98"/>
      <c r="FO183" s="98"/>
      <c r="FP183" s="98"/>
      <c r="FQ183" s="98"/>
      <c r="FR183" s="98"/>
      <c r="FS183" s="98"/>
      <c r="FT183" s="98"/>
      <c r="FU183" s="98"/>
      <c r="FV183" s="98"/>
      <c r="FW183" s="98"/>
      <c r="FX183" s="98"/>
      <c r="FY183" s="98"/>
      <c r="FZ183" s="98"/>
      <c r="GA183" s="98"/>
      <c r="GB183" s="98"/>
      <c r="GC183" s="98"/>
      <c r="GD183" s="98"/>
      <c r="GE183" s="98"/>
      <c r="GF183" s="98"/>
      <c r="GG183" s="98"/>
      <c r="GH183" s="98"/>
      <c r="GI183" s="98"/>
      <c r="GJ183" s="98"/>
      <c r="GK183" s="98"/>
      <c r="GL183" s="98"/>
    </row>
    <row r="184" spans="1:194" ht="14.25" customHeight="1" x14ac:dyDescent="0.2">
      <c r="B184" s="24">
        <v>315</v>
      </c>
      <c r="C184" s="20" t="s">
        <v>184</v>
      </c>
      <c r="D184" s="28"/>
      <c r="E184" s="19"/>
      <c r="F184" s="25">
        <f>F185</f>
        <v>0</v>
      </c>
      <c r="G184" s="37"/>
      <c r="H184" s="26">
        <f>H185</f>
        <v>0</v>
      </c>
      <c r="I184" s="26"/>
      <c r="J184" s="26">
        <f t="shared" si="64"/>
        <v>0</v>
      </c>
      <c r="K184" s="26"/>
      <c r="L184" s="26">
        <f t="shared" si="64"/>
        <v>0</v>
      </c>
      <c r="M184" s="26"/>
      <c r="N184" s="26">
        <f t="shared" si="64"/>
        <v>0</v>
      </c>
      <c r="O184" s="26"/>
      <c r="P184" s="26">
        <f t="shared" si="64"/>
        <v>0</v>
      </c>
      <c r="Q184" s="26"/>
      <c r="R184" s="26">
        <f t="shared" si="64"/>
        <v>0</v>
      </c>
      <c r="S184" s="26"/>
      <c r="T184" s="26">
        <f t="shared" si="64"/>
        <v>0</v>
      </c>
      <c r="U184" s="26"/>
      <c r="V184" s="26">
        <f t="shared" si="64"/>
        <v>0</v>
      </c>
      <c r="W184" s="26"/>
      <c r="X184" s="26">
        <f t="shared" si="64"/>
        <v>0</v>
      </c>
      <c r="Y184" s="26"/>
      <c r="Z184" s="26">
        <f t="shared" si="64"/>
        <v>0</v>
      </c>
      <c r="AA184" s="26"/>
      <c r="AB184" s="26">
        <f t="shared" si="64"/>
        <v>0</v>
      </c>
      <c r="AC184" s="26"/>
      <c r="AD184" s="26">
        <f t="shared" si="64"/>
        <v>0</v>
      </c>
      <c r="AE184" s="130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/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/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8"/>
      <c r="EY184" s="98"/>
      <c r="EZ184" s="98"/>
      <c r="FA184" s="98"/>
      <c r="FB184" s="98"/>
      <c r="FC184" s="98"/>
      <c r="FD184" s="98"/>
      <c r="FE184" s="98"/>
      <c r="FF184" s="98"/>
      <c r="FG184" s="98"/>
      <c r="FH184" s="98"/>
      <c r="FI184" s="98"/>
      <c r="FJ184" s="98"/>
      <c r="FK184" s="98"/>
      <c r="FL184" s="98"/>
      <c r="FM184" s="98"/>
      <c r="FN184" s="98"/>
      <c r="FO184" s="98"/>
      <c r="FP184" s="98"/>
      <c r="FQ184" s="98"/>
      <c r="FR184" s="98"/>
      <c r="FS184" s="98"/>
      <c r="FT184" s="98"/>
      <c r="FU184" s="98"/>
      <c r="FV184" s="98"/>
      <c r="FW184" s="98"/>
      <c r="FX184" s="98"/>
      <c r="FY184" s="98"/>
      <c r="FZ184" s="98"/>
      <c r="GA184" s="98"/>
      <c r="GB184" s="98"/>
      <c r="GC184" s="98"/>
      <c r="GD184" s="98"/>
      <c r="GE184" s="98"/>
      <c r="GF184" s="98"/>
      <c r="GG184" s="98"/>
      <c r="GH184" s="98"/>
      <c r="GI184" s="98"/>
      <c r="GJ184" s="98"/>
      <c r="GK184" s="98"/>
      <c r="GL184" s="98"/>
    </row>
    <row r="185" spans="1:194" ht="14.25" customHeight="1" x14ac:dyDescent="0.2">
      <c r="B185" s="24"/>
      <c r="C185" s="83" t="s">
        <v>184</v>
      </c>
      <c r="D185" s="28"/>
      <c r="E185" s="33"/>
      <c r="F185" s="30"/>
      <c r="G185" s="32"/>
      <c r="H185" s="53"/>
      <c r="I185" s="32"/>
      <c r="J185" s="53"/>
      <c r="K185" s="32"/>
      <c r="L185" s="53"/>
      <c r="M185" s="32"/>
      <c r="N185" s="53"/>
      <c r="O185" s="32"/>
      <c r="P185" s="53"/>
      <c r="Q185" s="32"/>
      <c r="R185" s="53"/>
      <c r="S185" s="32"/>
      <c r="T185" s="53"/>
      <c r="U185" s="32"/>
      <c r="V185" s="53"/>
      <c r="W185" s="32"/>
      <c r="X185" s="53"/>
      <c r="Y185" s="32"/>
      <c r="Z185" s="53"/>
      <c r="AA185" s="32"/>
      <c r="AB185" s="53"/>
      <c r="AC185" s="32"/>
      <c r="AD185" s="53"/>
      <c r="AE185" s="130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  <c r="DQ185" s="98"/>
      <c r="DR185" s="98"/>
      <c r="DS185" s="98"/>
      <c r="DT185" s="98"/>
      <c r="DU185" s="98"/>
      <c r="DV185" s="98"/>
      <c r="DW185" s="98"/>
      <c r="DX185" s="98"/>
      <c r="DY185" s="98"/>
      <c r="DZ185" s="98"/>
      <c r="EA185" s="98"/>
      <c r="EB185" s="98"/>
      <c r="EC185" s="98"/>
      <c r="ED185" s="98"/>
      <c r="EE185" s="98"/>
      <c r="EF185" s="98"/>
      <c r="EG185" s="98"/>
      <c r="EH185" s="98"/>
      <c r="EI185" s="98"/>
      <c r="EJ185" s="98"/>
      <c r="EK185" s="98"/>
      <c r="EL185" s="98"/>
      <c r="EM185" s="98"/>
      <c r="EN185" s="98"/>
      <c r="EO185" s="98"/>
      <c r="EP185" s="98"/>
      <c r="EQ185" s="98"/>
      <c r="ER185" s="98"/>
      <c r="ES185" s="98"/>
      <c r="ET185" s="98"/>
      <c r="EU185" s="98"/>
      <c r="EV185" s="98"/>
      <c r="EW185" s="98"/>
      <c r="EX185" s="98"/>
      <c r="EY185" s="98"/>
      <c r="EZ185" s="98"/>
      <c r="FA185" s="98"/>
      <c r="FB185" s="98"/>
      <c r="FC185" s="98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98"/>
      <c r="FQ185" s="98"/>
      <c r="FR185" s="98"/>
      <c r="FS185" s="98"/>
      <c r="FT185" s="98"/>
      <c r="FU185" s="98"/>
      <c r="FV185" s="98"/>
      <c r="FW185" s="98"/>
      <c r="FX185" s="98"/>
      <c r="FY185" s="98"/>
      <c r="FZ185" s="98"/>
      <c r="GA185" s="98"/>
      <c r="GB185" s="98"/>
      <c r="GC185" s="98"/>
      <c r="GD185" s="98"/>
      <c r="GE185" s="98"/>
      <c r="GF185" s="98"/>
      <c r="GG185" s="98"/>
      <c r="GH185" s="98"/>
      <c r="GI185" s="98"/>
      <c r="GJ185" s="98"/>
      <c r="GK185" s="98"/>
      <c r="GL185" s="98"/>
    </row>
    <row r="186" spans="1:194" ht="24" customHeight="1" x14ac:dyDescent="0.2">
      <c r="B186" s="24">
        <v>316</v>
      </c>
      <c r="C186" s="20" t="s">
        <v>87</v>
      </c>
      <c r="D186" s="28"/>
      <c r="E186" s="33"/>
      <c r="F186" s="48">
        <f>F187</f>
        <v>0</v>
      </c>
      <c r="G186" s="37"/>
      <c r="H186" s="48">
        <f>H187</f>
        <v>0</v>
      </c>
      <c r="I186" s="26"/>
      <c r="J186" s="48">
        <f>J187</f>
        <v>0</v>
      </c>
      <c r="K186" s="26"/>
      <c r="L186" s="48">
        <f>L187</f>
        <v>0</v>
      </c>
      <c r="M186" s="26"/>
      <c r="N186" s="48">
        <f>N187</f>
        <v>0</v>
      </c>
      <c r="O186" s="26"/>
      <c r="P186" s="48">
        <f>P187</f>
        <v>0</v>
      </c>
      <c r="Q186" s="26"/>
      <c r="R186" s="48">
        <f>R187</f>
        <v>0</v>
      </c>
      <c r="S186" s="26"/>
      <c r="T186" s="48">
        <f>T187</f>
        <v>0</v>
      </c>
      <c r="U186" s="26"/>
      <c r="V186" s="48">
        <f>V187</f>
        <v>0</v>
      </c>
      <c r="W186" s="26"/>
      <c r="X186" s="48">
        <f>X187</f>
        <v>0</v>
      </c>
      <c r="Y186" s="26"/>
      <c r="Z186" s="48">
        <f>Z187</f>
        <v>0</v>
      </c>
      <c r="AA186" s="26"/>
      <c r="AB186" s="48">
        <f>AB187</f>
        <v>0</v>
      </c>
      <c r="AC186" s="26"/>
      <c r="AD186" s="48">
        <f>AD187</f>
        <v>0</v>
      </c>
      <c r="AE186" s="130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98"/>
      <c r="FI186" s="98"/>
      <c r="FJ186" s="98"/>
      <c r="FK186" s="98"/>
      <c r="FL186" s="98"/>
      <c r="FM186" s="98"/>
      <c r="FN186" s="98"/>
      <c r="FO186" s="98"/>
      <c r="FP186" s="98"/>
      <c r="FQ186" s="98"/>
      <c r="FR186" s="98"/>
      <c r="FS186" s="98"/>
      <c r="FT186" s="98"/>
      <c r="FU186" s="98"/>
      <c r="FV186" s="98"/>
      <c r="FW186" s="98"/>
      <c r="FX186" s="98"/>
      <c r="FY186" s="98"/>
      <c r="FZ186" s="98"/>
      <c r="GA186" s="98"/>
      <c r="GB186" s="98"/>
      <c r="GC186" s="98"/>
      <c r="GD186" s="98"/>
      <c r="GE186" s="98"/>
      <c r="GF186" s="98"/>
      <c r="GG186" s="98"/>
      <c r="GH186" s="98"/>
      <c r="GI186" s="98"/>
      <c r="GJ186" s="98"/>
      <c r="GK186" s="98"/>
      <c r="GL186" s="98"/>
    </row>
    <row r="187" spans="1:194" ht="13.5" customHeight="1" x14ac:dyDescent="0.2">
      <c r="B187" s="24"/>
      <c r="C187" s="83" t="s">
        <v>88</v>
      </c>
      <c r="D187" s="28"/>
      <c r="E187" s="33"/>
      <c r="F187" s="30"/>
      <c r="G187" s="32"/>
      <c r="H187" s="53"/>
      <c r="I187" s="32"/>
      <c r="J187" s="31"/>
      <c r="K187" s="32"/>
      <c r="L187" s="31"/>
      <c r="M187" s="32"/>
      <c r="N187" s="31"/>
      <c r="O187" s="32"/>
      <c r="P187" s="31"/>
      <c r="Q187" s="32"/>
      <c r="R187" s="31"/>
      <c r="S187" s="32"/>
      <c r="T187" s="31"/>
      <c r="U187" s="32"/>
      <c r="V187" s="31"/>
      <c r="W187" s="32"/>
      <c r="X187" s="31"/>
      <c r="Y187" s="32"/>
      <c r="Z187" s="31"/>
      <c r="AA187" s="32"/>
      <c r="AB187" s="31"/>
      <c r="AC187" s="32"/>
      <c r="AD187" s="31"/>
      <c r="AE187" s="130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8"/>
      <c r="FK187" s="98"/>
      <c r="FL187" s="98"/>
      <c r="FM187" s="98"/>
      <c r="FN187" s="98"/>
      <c r="FO187" s="98"/>
      <c r="FP187" s="98"/>
      <c r="FQ187" s="98"/>
      <c r="FR187" s="98"/>
      <c r="FS187" s="98"/>
      <c r="FT187" s="98"/>
      <c r="FU187" s="98"/>
      <c r="FV187" s="98"/>
      <c r="FW187" s="98"/>
      <c r="FX187" s="98"/>
      <c r="FY187" s="98"/>
      <c r="FZ187" s="98"/>
      <c r="GA187" s="98"/>
      <c r="GB187" s="98"/>
      <c r="GC187" s="98"/>
      <c r="GD187" s="98"/>
      <c r="GE187" s="98"/>
      <c r="GF187" s="98"/>
      <c r="GG187" s="98"/>
      <c r="GH187" s="98"/>
      <c r="GI187" s="98"/>
      <c r="GJ187" s="98"/>
      <c r="GK187" s="98"/>
      <c r="GL187" s="98"/>
    </row>
    <row r="188" spans="1:194" ht="22.5" customHeight="1" x14ac:dyDescent="0.2">
      <c r="B188" s="49">
        <v>317</v>
      </c>
      <c r="C188" s="20" t="s">
        <v>89</v>
      </c>
      <c r="D188" s="28"/>
      <c r="E188" s="19"/>
      <c r="F188" s="25">
        <f>SUM(F189:F189)</f>
        <v>0</v>
      </c>
      <c r="G188" s="37"/>
      <c r="H188" s="26">
        <f>SUM(H189)</f>
        <v>0</v>
      </c>
      <c r="I188" s="26"/>
      <c r="J188" s="26">
        <f>SUM(J189)</f>
        <v>0</v>
      </c>
      <c r="K188" s="26"/>
      <c r="L188" s="26">
        <f>SUM(L189)</f>
        <v>0</v>
      </c>
      <c r="M188" s="26"/>
      <c r="N188" s="26">
        <f>SUM(N189)</f>
        <v>0</v>
      </c>
      <c r="O188" s="26"/>
      <c r="P188" s="26">
        <f>SUM(P189)</f>
        <v>0</v>
      </c>
      <c r="Q188" s="26"/>
      <c r="R188" s="26">
        <f>SUM(R189)</f>
        <v>0</v>
      </c>
      <c r="S188" s="26"/>
      <c r="T188" s="26">
        <f>SUM(T189)</f>
        <v>0</v>
      </c>
      <c r="U188" s="26"/>
      <c r="V188" s="26">
        <f>SUM(V189)</f>
        <v>0</v>
      </c>
      <c r="W188" s="26"/>
      <c r="X188" s="26">
        <f>SUM(X189)</f>
        <v>0</v>
      </c>
      <c r="Y188" s="26"/>
      <c r="Z188" s="26">
        <f>SUM(Z189)</f>
        <v>0</v>
      </c>
      <c r="AA188" s="26"/>
      <c r="AB188" s="26">
        <f>SUM(AB189)</f>
        <v>0</v>
      </c>
      <c r="AC188" s="26"/>
      <c r="AD188" s="26">
        <f>SUM(AD189)</f>
        <v>0</v>
      </c>
      <c r="AE188" s="130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  <c r="FH188" s="98"/>
      <c r="FI188" s="98"/>
      <c r="FJ188" s="98"/>
      <c r="FK188" s="98"/>
      <c r="FL188" s="98"/>
      <c r="FM188" s="98"/>
      <c r="FN188" s="98"/>
      <c r="FO188" s="98"/>
      <c r="FP188" s="98"/>
      <c r="FQ188" s="98"/>
      <c r="FR188" s="98"/>
      <c r="FS188" s="98"/>
      <c r="FT188" s="98"/>
      <c r="FU188" s="98"/>
      <c r="FV188" s="98"/>
      <c r="FW188" s="98"/>
      <c r="FX188" s="98"/>
      <c r="FY188" s="98"/>
      <c r="FZ188" s="98"/>
      <c r="GA188" s="98"/>
      <c r="GB188" s="98"/>
      <c r="GC188" s="98"/>
      <c r="GD188" s="98"/>
      <c r="GE188" s="98"/>
      <c r="GF188" s="98"/>
      <c r="GG188" s="98"/>
      <c r="GH188" s="98"/>
      <c r="GI188" s="98"/>
      <c r="GJ188" s="98"/>
      <c r="GK188" s="98"/>
      <c r="GL188" s="98"/>
    </row>
    <row r="189" spans="1:194" ht="13.5" customHeight="1" x14ac:dyDescent="0.2">
      <c r="A189" s="90"/>
      <c r="B189" s="53"/>
      <c r="C189" s="102" t="s">
        <v>90</v>
      </c>
      <c r="D189" s="119">
        <v>12323.65</v>
      </c>
      <c r="E189" s="122" t="s">
        <v>91</v>
      </c>
      <c r="F189" s="30"/>
      <c r="G189" s="32"/>
      <c r="H189" s="53"/>
      <c r="I189" s="32"/>
      <c r="J189" s="53"/>
      <c r="K189" s="32"/>
      <c r="L189" s="53"/>
      <c r="M189" s="32"/>
      <c r="N189" s="53"/>
      <c r="O189" s="32"/>
      <c r="P189" s="53"/>
      <c r="Q189" s="32"/>
      <c r="R189" s="53"/>
      <c r="S189" s="32"/>
      <c r="T189" s="53"/>
      <c r="U189" s="32"/>
      <c r="V189" s="53"/>
      <c r="W189" s="32"/>
      <c r="X189" s="53"/>
      <c r="Y189" s="32"/>
      <c r="Z189" s="53"/>
      <c r="AA189" s="32"/>
      <c r="AB189" s="53"/>
      <c r="AC189" s="32"/>
      <c r="AD189" s="53"/>
      <c r="AE189" s="130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8"/>
      <c r="DT189" s="98"/>
      <c r="DU189" s="98"/>
      <c r="DV189" s="98"/>
      <c r="DW189" s="98"/>
      <c r="DX189" s="98"/>
      <c r="DY189" s="98"/>
      <c r="DZ189" s="98"/>
      <c r="EA189" s="98"/>
      <c r="EB189" s="98"/>
      <c r="EC189" s="98"/>
      <c r="ED189" s="98"/>
      <c r="EE189" s="98"/>
      <c r="EF189" s="98"/>
      <c r="EG189" s="98"/>
      <c r="EH189" s="98"/>
      <c r="EI189" s="98"/>
      <c r="EJ189" s="98"/>
      <c r="EK189" s="98"/>
      <c r="EL189" s="98"/>
      <c r="EM189" s="98"/>
      <c r="EN189" s="98"/>
      <c r="EO189" s="98"/>
      <c r="EP189" s="98"/>
      <c r="EQ189" s="98"/>
      <c r="ER189" s="98"/>
      <c r="ES189" s="98"/>
      <c r="ET189" s="98"/>
      <c r="EU189" s="98"/>
      <c r="EV189" s="98"/>
      <c r="EW189" s="98"/>
      <c r="EX189" s="98"/>
      <c r="EY189" s="98"/>
      <c r="EZ189" s="98"/>
      <c r="FA189" s="98"/>
      <c r="FB189" s="98"/>
      <c r="FC189" s="98"/>
      <c r="FD189" s="98"/>
      <c r="FE189" s="98"/>
      <c r="FF189" s="98"/>
      <c r="FG189" s="98"/>
      <c r="FH189" s="98"/>
      <c r="FI189" s="98"/>
      <c r="FJ189" s="98"/>
      <c r="FK189" s="98"/>
      <c r="FL189" s="98"/>
      <c r="FM189" s="98"/>
      <c r="FN189" s="98"/>
      <c r="FO189" s="98"/>
      <c r="FP189" s="98"/>
      <c r="FQ189" s="98"/>
      <c r="FR189" s="98"/>
      <c r="FS189" s="98"/>
      <c r="FT189" s="98"/>
      <c r="FU189" s="98"/>
      <c r="FV189" s="98"/>
      <c r="FW189" s="98"/>
      <c r="FX189" s="98"/>
      <c r="FY189" s="98"/>
      <c r="FZ189" s="98"/>
      <c r="GA189" s="98"/>
      <c r="GB189" s="98"/>
      <c r="GC189" s="98"/>
      <c r="GD189" s="98"/>
      <c r="GE189" s="98"/>
      <c r="GF189" s="98"/>
      <c r="GG189" s="98"/>
      <c r="GH189" s="98"/>
      <c r="GI189" s="98"/>
      <c r="GJ189" s="98"/>
      <c r="GK189" s="98"/>
      <c r="GL189" s="98"/>
    </row>
    <row r="190" spans="1:194" ht="12.75" customHeight="1" x14ac:dyDescent="0.2">
      <c r="B190" s="24">
        <v>318</v>
      </c>
      <c r="C190" s="20" t="s">
        <v>92</v>
      </c>
      <c r="D190" s="28"/>
      <c r="E190" s="19"/>
      <c r="F190" s="25">
        <f>F191</f>
        <v>0</v>
      </c>
      <c r="G190" s="37"/>
      <c r="H190" s="26">
        <f>H191</f>
        <v>0</v>
      </c>
      <c r="I190" s="26"/>
      <c r="J190" s="40">
        <f t="shared" ref="J190:AD190" si="65">J191</f>
        <v>0</v>
      </c>
      <c r="K190" s="26"/>
      <c r="L190" s="26">
        <f t="shared" si="65"/>
        <v>0</v>
      </c>
      <c r="M190" s="26"/>
      <c r="N190" s="26">
        <f t="shared" si="65"/>
        <v>0</v>
      </c>
      <c r="O190" s="26"/>
      <c r="P190" s="26">
        <f t="shared" si="65"/>
        <v>0</v>
      </c>
      <c r="Q190" s="26"/>
      <c r="R190" s="26">
        <f t="shared" si="65"/>
        <v>0</v>
      </c>
      <c r="S190" s="26"/>
      <c r="T190" s="26">
        <f t="shared" si="65"/>
        <v>0</v>
      </c>
      <c r="U190" s="26"/>
      <c r="V190" s="26">
        <f t="shared" si="65"/>
        <v>0</v>
      </c>
      <c r="W190" s="26"/>
      <c r="X190" s="26">
        <f t="shared" si="65"/>
        <v>0</v>
      </c>
      <c r="Y190" s="26"/>
      <c r="Z190" s="26">
        <f t="shared" si="65"/>
        <v>0</v>
      </c>
      <c r="AA190" s="26"/>
      <c r="AB190" s="26">
        <f t="shared" si="65"/>
        <v>0</v>
      </c>
      <c r="AC190" s="26"/>
      <c r="AD190" s="26">
        <f t="shared" si="65"/>
        <v>0</v>
      </c>
      <c r="AE190" s="130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  <c r="ET190" s="98"/>
      <c r="EU190" s="98"/>
      <c r="EV190" s="98"/>
      <c r="EW190" s="98"/>
      <c r="EX190" s="98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8"/>
      <c r="FK190" s="98"/>
      <c r="FL190" s="98"/>
      <c r="FM190" s="98"/>
      <c r="FN190" s="98"/>
      <c r="FO190" s="98"/>
      <c r="FP190" s="98"/>
      <c r="FQ190" s="98"/>
      <c r="FR190" s="98"/>
      <c r="FS190" s="98"/>
      <c r="FT190" s="98"/>
      <c r="FU190" s="98"/>
      <c r="FV190" s="98"/>
      <c r="FW190" s="98"/>
      <c r="FX190" s="98"/>
      <c r="FY190" s="98"/>
      <c r="FZ190" s="98"/>
      <c r="GA190" s="98"/>
      <c r="GB190" s="98"/>
      <c r="GC190" s="98"/>
      <c r="GD190" s="98"/>
      <c r="GE190" s="98"/>
      <c r="GF190" s="98"/>
      <c r="GG190" s="98"/>
      <c r="GH190" s="98"/>
      <c r="GI190" s="98"/>
      <c r="GJ190" s="98"/>
      <c r="GK190" s="98"/>
      <c r="GL190" s="98"/>
    </row>
    <row r="191" spans="1:194" ht="36.75" customHeight="1" x14ac:dyDescent="0.2">
      <c r="B191" s="24"/>
      <c r="C191" s="83" t="s">
        <v>93</v>
      </c>
      <c r="D191" s="28"/>
      <c r="E191" s="33"/>
      <c r="F191" s="30"/>
      <c r="G191" s="32"/>
      <c r="H191" s="53"/>
      <c r="I191" s="32"/>
      <c r="J191" s="53"/>
      <c r="K191" s="32"/>
      <c r="L191" s="53"/>
      <c r="M191" s="32"/>
      <c r="N191" s="53"/>
      <c r="O191" s="32"/>
      <c r="P191" s="53"/>
      <c r="Q191" s="32"/>
      <c r="R191" s="53"/>
      <c r="S191" s="32"/>
      <c r="T191" s="53"/>
      <c r="U191" s="32"/>
      <c r="V191" s="53"/>
      <c r="W191" s="32"/>
      <c r="X191" s="53"/>
      <c r="Y191" s="32"/>
      <c r="Z191" s="53"/>
      <c r="AA191" s="32"/>
      <c r="AB191" s="53"/>
      <c r="AC191" s="32"/>
      <c r="AD191" s="53"/>
      <c r="AE191" s="130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  <c r="FF191" s="98"/>
      <c r="FG191" s="98"/>
      <c r="FH191" s="98"/>
      <c r="FI191" s="98"/>
      <c r="FJ191" s="98"/>
      <c r="FK191" s="98"/>
      <c r="FL191" s="98"/>
      <c r="FM191" s="98"/>
      <c r="FN191" s="98"/>
      <c r="FO191" s="98"/>
      <c r="FP191" s="98"/>
      <c r="FQ191" s="98"/>
      <c r="FR191" s="98"/>
      <c r="FS191" s="98"/>
      <c r="FT191" s="98"/>
      <c r="FU191" s="98"/>
      <c r="FV191" s="98"/>
      <c r="FW191" s="98"/>
      <c r="FX191" s="98"/>
      <c r="FY191" s="98"/>
      <c r="FZ191" s="98"/>
      <c r="GA191" s="98"/>
      <c r="GB191" s="98"/>
      <c r="GC191" s="98"/>
      <c r="GD191" s="98"/>
      <c r="GE191" s="98"/>
      <c r="GF191" s="98"/>
      <c r="GG191" s="98"/>
      <c r="GH191" s="98"/>
      <c r="GI191" s="98"/>
      <c r="GJ191" s="98"/>
      <c r="GK191" s="98"/>
      <c r="GL191" s="98"/>
    </row>
    <row r="192" spans="1:194" ht="15" customHeight="1" x14ac:dyDescent="0.2">
      <c r="B192" s="19">
        <v>3200</v>
      </c>
      <c r="C192" s="20" t="s">
        <v>94</v>
      </c>
      <c r="D192" s="34"/>
      <c r="E192" s="19"/>
      <c r="F192" s="41" t="e">
        <f>SUM(F193+F195+F198+F200+#REF!)</f>
        <v>#VALUE!</v>
      </c>
      <c r="G192" s="39"/>
      <c r="H192" s="40" t="e">
        <f>SUM(H193+H195+H198+H200+#REF!)</f>
        <v>#REF!</v>
      </c>
      <c r="I192" s="39" t="s">
        <v>42</v>
      </c>
      <c r="J192" s="40" t="e">
        <f>SUM(J193+J195+J198+J200+#REF!)</f>
        <v>#REF!</v>
      </c>
      <c r="K192" s="39"/>
      <c r="L192" s="40" t="e">
        <f>SUM(L193+L195+L198+L200+#REF!)</f>
        <v>#REF!</v>
      </c>
      <c r="M192" s="39"/>
      <c r="N192" s="40" t="e">
        <f>SUM(N193+N195+N198+N200+#REF!)</f>
        <v>#REF!</v>
      </c>
      <c r="O192" s="39"/>
      <c r="P192" s="40" t="e">
        <f>SUM(P193+P195+P198+P200+#REF!)</f>
        <v>#REF!</v>
      </c>
      <c r="Q192" s="39"/>
      <c r="R192" s="40" t="e">
        <f>SUM(R193+R195+R198+R200+#REF!)</f>
        <v>#REF!</v>
      </c>
      <c r="S192" s="39"/>
      <c r="T192" s="40" t="e">
        <f>SUM(T193+T195+T198+T200+#REF!)</f>
        <v>#REF!</v>
      </c>
      <c r="U192" s="39"/>
      <c r="V192" s="40" t="e">
        <f>SUM(V193+V195+V198+V200+#REF!)</f>
        <v>#REF!</v>
      </c>
      <c r="W192" s="39"/>
      <c r="X192" s="40" t="e">
        <f>SUM(X193+X195+X198+X200+#REF!)</f>
        <v>#REF!</v>
      </c>
      <c r="Y192" s="39"/>
      <c r="Z192" s="40" t="e">
        <f>SUM(Z193+Z195+Z198+Z200+#REF!)</f>
        <v>#REF!</v>
      </c>
      <c r="AA192" s="39"/>
      <c r="AB192" s="40" t="e">
        <f>SUM(AB193+AB195+AB198+AB200+#REF!)</f>
        <v>#REF!</v>
      </c>
      <c r="AC192" s="40"/>
      <c r="AD192" s="40" t="e">
        <f>SUM(AD193+AD195+AD198+AD200+#REF!)</f>
        <v>#REF!</v>
      </c>
      <c r="AE192" s="130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98"/>
      <c r="ER192" s="98"/>
      <c r="ES192" s="98"/>
      <c r="ET192" s="98"/>
      <c r="EU192" s="98"/>
      <c r="EV192" s="98"/>
      <c r="EW192" s="98"/>
      <c r="EX192" s="98"/>
      <c r="EY192" s="98"/>
      <c r="EZ192" s="98"/>
      <c r="FA192" s="98"/>
      <c r="FB192" s="98"/>
      <c r="FC192" s="98"/>
      <c r="FD192" s="98"/>
      <c r="FE192" s="98"/>
      <c r="FF192" s="98"/>
      <c r="FG192" s="98"/>
      <c r="FH192" s="98"/>
      <c r="FI192" s="98"/>
      <c r="FJ192" s="98"/>
      <c r="FK192" s="98"/>
      <c r="FL192" s="98"/>
      <c r="FM192" s="98"/>
      <c r="FN192" s="98"/>
      <c r="FO192" s="98"/>
      <c r="FP192" s="98"/>
      <c r="FQ192" s="98"/>
      <c r="FR192" s="98"/>
      <c r="FS192" s="98"/>
      <c r="FT192" s="98"/>
      <c r="FU192" s="98"/>
      <c r="FV192" s="98"/>
      <c r="FW192" s="98"/>
      <c r="FX192" s="98"/>
      <c r="FY192" s="98"/>
      <c r="FZ192" s="98"/>
      <c r="GA192" s="98"/>
      <c r="GB192" s="98"/>
      <c r="GC192" s="98"/>
      <c r="GD192" s="98"/>
      <c r="GE192" s="98"/>
      <c r="GF192" s="98"/>
      <c r="GG192" s="98"/>
      <c r="GH192" s="98"/>
      <c r="GI192" s="98"/>
      <c r="GJ192" s="98"/>
      <c r="GK192" s="98"/>
      <c r="GL192" s="98"/>
    </row>
    <row r="193" spans="1:194" ht="13.5" customHeight="1" x14ac:dyDescent="0.2">
      <c r="B193" s="24">
        <v>322</v>
      </c>
      <c r="C193" s="20" t="s">
        <v>95</v>
      </c>
      <c r="D193" s="28"/>
      <c r="E193" s="19"/>
      <c r="F193" s="25">
        <f>F194</f>
        <v>0</v>
      </c>
      <c r="G193" s="37" t="s">
        <v>42</v>
      </c>
      <c r="H193" s="25">
        <f>H194</f>
        <v>0</v>
      </c>
      <c r="I193" s="37" t="s">
        <v>42</v>
      </c>
      <c r="J193" s="25">
        <f>J194</f>
        <v>0</v>
      </c>
      <c r="K193" s="37"/>
      <c r="L193" s="25">
        <f>L194</f>
        <v>0</v>
      </c>
      <c r="M193" s="37"/>
      <c r="N193" s="25">
        <f>N194</f>
        <v>0</v>
      </c>
      <c r="O193" s="37"/>
      <c r="P193" s="25">
        <f>P194</f>
        <v>0</v>
      </c>
      <c r="Q193" s="37"/>
      <c r="R193" s="25">
        <f>R194</f>
        <v>0</v>
      </c>
      <c r="S193" s="37"/>
      <c r="T193" s="25">
        <f>T194</f>
        <v>0</v>
      </c>
      <c r="U193" s="37"/>
      <c r="V193" s="25">
        <f>V194</f>
        <v>0</v>
      </c>
      <c r="W193" s="37"/>
      <c r="X193" s="25">
        <f>X194</f>
        <v>0</v>
      </c>
      <c r="Y193" s="37"/>
      <c r="Z193" s="25">
        <f>Z194</f>
        <v>0</v>
      </c>
      <c r="AA193" s="37"/>
      <c r="AB193" s="25">
        <f>AB194</f>
        <v>0</v>
      </c>
      <c r="AC193" s="37"/>
      <c r="AD193" s="25">
        <f>AD194</f>
        <v>0</v>
      </c>
      <c r="AE193" s="130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8"/>
      <c r="DS193" s="98"/>
      <c r="DT193" s="98"/>
      <c r="DU193" s="98"/>
      <c r="DV193" s="98"/>
      <c r="DW193" s="98"/>
      <c r="DX193" s="98"/>
      <c r="DY193" s="98"/>
      <c r="DZ193" s="98"/>
      <c r="EA193" s="98"/>
      <c r="EB193" s="98"/>
      <c r="EC193" s="98"/>
      <c r="ED193" s="98"/>
      <c r="EE193" s="98"/>
      <c r="EF193" s="98"/>
      <c r="EG193" s="98"/>
      <c r="EH193" s="98"/>
      <c r="EI193" s="98"/>
      <c r="EJ193" s="98"/>
      <c r="EK193" s="98"/>
      <c r="EL193" s="98"/>
      <c r="EM193" s="98"/>
      <c r="EN193" s="98"/>
      <c r="EO193" s="98"/>
      <c r="EP193" s="98"/>
      <c r="EQ193" s="98"/>
      <c r="ER193" s="98"/>
      <c r="ES193" s="98"/>
      <c r="ET193" s="98"/>
      <c r="EU193" s="98"/>
      <c r="EV193" s="98"/>
      <c r="EW193" s="98"/>
      <c r="EX193" s="98"/>
      <c r="EY193" s="98"/>
      <c r="EZ193" s="98"/>
      <c r="FA193" s="98"/>
      <c r="FB193" s="98"/>
      <c r="FC193" s="98"/>
      <c r="FD193" s="98"/>
      <c r="FE193" s="98"/>
      <c r="FF193" s="98"/>
      <c r="FG193" s="98"/>
      <c r="FH193" s="98"/>
      <c r="FI193" s="98"/>
      <c r="FJ193" s="98"/>
      <c r="FK193" s="98"/>
      <c r="FL193" s="98"/>
      <c r="FM193" s="98"/>
      <c r="FN193" s="98"/>
      <c r="FO193" s="98"/>
      <c r="FP193" s="98"/>
      <c r="FQ193" s="98"/>
      <c r="FR193" s="98"/>
      <c r="FS193" s="98"/>
      <c r="FT193" s="98"/>
      <c r="FU193" s="98"/>
      <c r="FV193" s="98"/>
      <c r="FW193" s="98"/>
      <c r="FX193" s="98"/>
      <c r="FY193" s="98"/>
      <c r="FZ193" s="98"/>
      <c r="GA193" s="98"/>
      <c r="GB193" s="98"/>
      <c r="GC193" s="98"/>
      <c r="GD193" s="98"/>
      <c r="GE193" s="98"/>
      <c r="GF193" s="98"/>
      <c r="GG193" s="98"/>
      <c r="GH193" s="98"/>
      <c r="GI193" s="98"/>
      <c r="GJ193" s="98"/>
      <c r="GK193" s="98"/>
      <c r="GL193" s="98"/>
    </row>
    <row r="194" spans="1:194" ht="50.25" customHeight="1" x14ac:dyDescent="0.2">
      <c r="B194" s="24"/>
      <c r="C194" s="83"/>
      <c r="D194" s="28"/>
      <c r="E194" s="87"/>
      <c r="F194" s="30"/>
      <c r="G194" s="32"/>
      <c r="H194" s="53"/>
      <c r="I194" s="32"/>
      <c r="J194" s="53"/>
      <c r="K194" s="32"/>
      <c r="L194" s="53"/>
      <c r="M194" s="32"/>
      <c r="N194" s="53"/>
      <c r="O194" s="32"/>
      <c r="P194" s="53"/>
      <c r="Q194" s="32"/>
      <c r="R194" s="53"/>
      <c r="S194" s="32"/>
      <c r="T194" s="53"/>
      <c r="U194" s="32"/>
      <c r="V194" s="53"/>
      <c r="W194" s="32"/>
      <c r="X194" s="53"/>
      <c r="Y194" s="32"/>
      <c r="Z194" s="53"/>
      <c r="AA194" s="32"/>
      <c r="AB194" s="53"/>
      <c r="AC194" s="32"/>
      <c r="AD194" s="53"/>
      <c r="AE194" s="130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  <c r="DT194" s="98"/>
      <c r="DU194" s="98"/>
      <c r="DV194" s="98"/>
      <c r="DW194" s="98"/>
      <c r="DX194" s="98"/>
      <c r="DY194" s="98"/>
      <c r="DZ194" s="98"/>
      <c r="EA194" s="98"/>
      <c r="EB194" s="98"/>
      <c r="EC194" s="98"/>
      <c r="ED194" s="98"/>
      <c r="EE194" s="98"/>
      <c r="EF194" s="98"/>
      <c r="EG194" s="98"/>
      <c r="EH194" s="98"/>
      <c r="EI194" s="98"/>
      <c r="EJ194" s="98"/>
      <c r="EK194" s="98"/>
      <c r="EL194" s="98"/>
      <c r="EM194" s="98"/>
      <c r="EN194" s="98"/>
      <c r="EO194" s="98"/>
      <c r="EP194" s="98"/>
      <c r="EQ194" s="98"/>
      <c r="ER194" s="98"/>
      <c r="ES194" s="98"/>
      <c r="ET194" s="98"/>
      <c r="EU194" s="98"/>
      <c r="EV194" s="98"/>
      <c r="EW194" s="98"/>
      <c r="EX194" s="98"/>
      <c r="EY194" s="98"/>
      <c r="EZ194" s="98"/>
      <c r="FA194" s="98"/>
      <c r="FB194" s="98"/>
      <c r="FC194" s="98"/>
      <c r="FD194" s="98"/>
      <c r="FE194" s="98"/>
      <c r="FF194" s="98"/>
      <c r="FG194" s="98"/>
      <c r="FH194" s="98"/>
      <c r="FI194" s="98"/>
      <c r="FJ194" s="98"/>
      <c r="FK194" s="98"/>
      <c r="FL194" s="98"/>
      <c r="FM194" s="98"/>
      <c r="FN194" s="98"/>
      <c r="FO194" s="98"/>
      <c r="FP194" s="98"/>
      <c r="FQ194" s="98"/>
      <c r="FR194" s="98"/>
      <c r="FS194" s="98"/>
      <c r="FT194" s="98"/>
      <c r="FU194" s="98"/>
      <c r="FV194" s="98"/>
      <c r="FW194" s="98"/>
      <c r="FX194" s="98"/>
      <c r="FY194" s="98"/>
      <c r="FZ194" s="98"/>
      <c r="GA194" s="98"/>
      <c r="GB194" s="98"/>
      <c r="GC194" s="98"/>
      <c r="GD194" s="98"/>
      <c r="GE194" s="98"/>
      <c r="GF194" s="98"/>
      <c r="GG194" s="98"/>
      <c r="GH194" s="98"/>
      <c r="GI194" s="98"/>
      <c r="GJ194" s="98"/>
      <c r="GK194" s="98"/>
      <c r="GL194" s="98"/>
    </row>
    <row r="195" spans="1:194" ht="22.5" customHeight="1" x14ac:dyDescent="0.2">
      <c r="B195" s="49">
        <v>323</v>
      </c>
      <c r="C195" s="85" t="s">
        <v>96</v>
      </c>
      <c r="D195" s="34"/>
      <c r="E195" s="51"/>
      <c r="F195" s="25" t="e">
        <f>K195+M195+O195+Q195+S195+U195+W195+Y195+AA195+AC195+AE195+AG195</f>
        <v>#VALUE!</v>
      </c>
      <c r="G195" s="39" t="s">
        <v>42</v>
      </c>
      <c r="H195" s="25">
        <f>H196+H197</f>
        <v>6143.43</v>
      </c>
      <c r="I195" s="39" t="s">
        <v>42</v>
      </c>
      <c r="J195" s="25">
        <f>J196+J197</f>
        <v>6407.09</v>
      </c>
      <c r="K195" s="39" t="s">
        <v>42</v>
      </c>
      <c r="L195" s="25">
        <f>L196+L197</f>
        <v>12507.23</v>
      </c>
      <c r="M195" s="39" t="s">
        <v>42</v>
      </c>
      <c r="N195" s="25">
        <f>N196+N197</f>
        <v>9908.14</v>
      </c>
      <c r="O195" s="39" t="s">
        <v>42</v>
      </c>
      <c r="P195" s="25">
        <f>P196+P197</f>
        <v>18461.22</v>
      </c>
      <c r="Q195" s="39" t="s">
        <v>42</v>
      </c>
      <c r="R195" s="25">
        <f>R196+R197</f>
        <v>16696.3</v>
      </c>
      <c r="S195" s="39" t="s">
        <v>42</v>
      </c>
      <c r="T195" s="25">
        <f>T196+T197</f>
        <v>15401.57</v>
      </c>
      <c r="U195" s="39" t="s">
        <v>42</v>
      </c>
      <c r="V195" s="25">
        <f>V196+V197</f>
        <v>13062.21</v>
      </c>
      <c r="W195" s="39" t="s">
        <v>42</v>
      </c>
      <c r="X195" s="25">
        <f>X196+X197</f>
        <v>16132.5</v>
      </c>
      <c r="Y195" s="39" t="s">
        <v>42</v>
      </c>
      <c r="Z195" s="25">
        <f>Z196+Z197</f>
        <v>18520</v>
      </c>
      <c r="AA195" s="39"/>
      <c r="AB195" s="25">
        <f>AB196+AB197</f>
        <v>16200</v>
      </c>
      <c r="AC195" s="39" t="s">
        <v>42</v>
      </c>
      <c r="AD195" s="25">
        <f>AD196+AD197</f>
        <v>13500</v>
      </c>
      <c r="AE195" s="130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  <c r="DQ195" s="98"/>
      <c r="DR195" s="98"/>
      <c r="DS195" s="98"/>
      <c r="DT195" s="98"/>
      <c r="DU195" s="98"/>
      <c r="DV195" s="98"/>
      <c r="DW195" s="98"/>
      <c r="DX195" s="98"/>
      <c r="DY195" s="98"/>
      <c r="DZ195" s="98"/>
      <c r="EA195" s="98"/>
      <c r="EB195" s="98"/>
      <c r="EC195" s="98"/>
      <c r="ED195" s="98"/>
      <c r="EE195" s="98"/>
      <c r="EF195" s="98"/>
      <c r="EG195" s="98"/>
      <c r="EH195" s="98"/>
      <c r="EI195" s="98"/>
      <c r="EJ195" s="98"/>
      <c r="EK195" s="98"/>
      <c r="EL195" s="98"/>
      <c r="EM195" s="98"/>
      <c r="EN195" s="98"/>
      <c r="EO195" s="98"/>
      <c r="EP195" s="98"/>
      <c r="EQ195" s="98"/>
      <c r="ER195" s="98"/>
      <c r="ES195" s="98"/>
      <c r="ET195" s="98"/>
      <c r="EU195" s="98"/>
      <c r="EV195" s="98"/>
      <c r="EW195" s="98"/>
      <c r="EX195" s="98"/>
      <c r="EY195" s="98"/>
      <c r="EZ195" s="98"/>
      <c r="FA195" s="98"/>
      <c r="FB195" s="98"/>
      <c r="FC195" s="98"/>
      <c r="FD195" s="98"/>
      <c r="FE195" s="98"/>
      <c r="FF195" s="98"/>
      <c r="FG195" s="98"/>
      <c r="FH195" s="98"/>
      <c r="FI195" s="98"/>
      <c r="FJ195" s="98"/>
      <c r="FK195" s="98"/>
      <c r="FL195" s="98"/>
      <c r="FM195" s="98"/>
      <c r="FN195" s="98"/>
      <c r="FO195" s="98"/>
      <c r="FP195" s="98"/>
      <c r="FQ195" s="98"/>
      <c r="FR195" s="98"/>
      <c r="FS195" s="98"/>
      <c r="FT195" s="98"/>
      <c r="FU195" s="98"/>
      <c r="FV195" s="98"/>
      <c r="FW195" s="98"/>
      <c r="FX195" s="98"/>
      <c r="FY195" s="98"/>
      <c r="FZ195" s="98"/>
      <c r="GA195" s="98"/>
      <c r="GB195" s="98"/>
      <c r="GC195" s="98"/>
      <c r="GD195" s="98"/>
      <c r="GE195" s="98"/>
      <c r="GF195" s="98"/>
      <c r="GG195" s="98"/>
      <c r="GH195" s="98"/>
      <c r="GI195" s="98"/>
      <c r="GJ195" s="98"/>
      <c r="GK195" s="98"/>
      <c r="GL195" s="98"/>
    </row>
    <row r="196" spans="1:194" ht="22.5" customHeight="1" x14ac:dyDescent="0.2">
      <c r="B196" s="49"/>
      <c r="C196" s="88" t="s">
        <v>170</v>
      </c>
      <c r="D196" s="28"/>
      <c r="E196" s="87"/>
      <c r="F196" s="30"/>
      <c r="G196" s="32"/>
      <c r="H196" s="30"/>
      <c r="I196" s="32"/>
      <c r="J196" s="30"/>
      <c r="K196" s="32"/>
      <c r="L196" s="30"/>
      <c r="M196" s="32"/>
      <c r="N196" s="30"/>
      <c r="O196" s="32"/>
      <c r="P196" s="30"/>
      <c r="Q196" s="32"/>
      <c r="R196" s="30"/>
      <c r="S196" s="32"/>
      <c r="T196" s="30"/>
      <c r="U196" s="32"/>
      <c r="V196" s="30"/>
      <c r="W196" s="32"/>
      <c r="X196" s="30"/>
      <c r="Y196" s="32"/>
      <c r="Z196" s="30"/>
      <c r="AA196" s="32"/>
      <c r="AB196" s="30"/>
      <c r="AC196" s="32"/>
      <c r="AD196" s="30"/>
      <c r="AE196" s="130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98"/>
      <c r="DK196" s="98"/>
      <c r="DL196" s="98"/>
      <c r="DM196" s="98"/>
      <c r="DN196" s="98"/>
      <c r="DO196" s="98"/>
      <c r="DP196" s="98"/>
      <c r="DQ196" s="98"/>
      <c r="DR196" s="98"/>
      <c r="DS196" s="98"/>
      <c r="DT196" s="98"/>
      <c r="DU196" s="98"/>
      <c r="DV196" s="98"/>
      <c r="DW196" s="98"/>
      <c r="DX196" s="98"/>
      <c r="DY196" s="98"/>
      <c r="DZ196" s="98"/>
      <c r="EA196" s="98"/>
      <c r="EB196" s="98"/>
      <c r="EC196" s="98"/>
      <c r="ED196" s="98"/>
      <c r="EE196" s="98"/>
      <c r="EF196" s="98"/>
      <c r="EG196" s="98"/>
      <c r="EH196" s="98"/>
      <c r="EI196" s="98"/>
      <c r="EJ196" s="98"/>
      <c r="EK196" s="98"/>
      <c r="EL196" s="98"/>
      <c r="EM196" s="98"/>
      <c r="EN196" s="98"/>
      <c r="EO196" s="98"/>
      <c r="EP196" s="98"/>
      <c r="EQ196" s="98"/>
      <c r="ER196" s="98"/>
      <c r="ES196" s="98"/>
      <c r="ET196" s="98"/>
      <c r="EU196" s="98"/>
      <c r="EV196" s="98"/>
      <c r="EW196" s="98"/>
      <c r="EX196" s="98"/>
      <c r="EY196" s="98"/>
      <c r="EZ196" s="98"/>
      <c r="FA196" s="98"/>
      <c r="FB196" s="98"/>
      <c r="FC196" s="98"/>
      <c r="FD196" s="98"/>
      <c r="FE196" s="98"/>
      <c r="FF196" s="98"/>
      <c r="FG196" s="98"/>
      <c r="FH196" s="98"/>
      <c r="FI196" s="98"/>
      <c r="FJ196" s="98"/>
      <c r="FK196" s="98"/>
      <c r="FL196" s="98"/>
      <c r="FM196" s="98"/>
      <c r="FN196" s="98"/>
      <c r="FO196" s="98"/>
      <c r="FP196" s="98"/>
      <c r="FQ196" s="98"/>
      <c r="FR196" s="98"/>
      <c r="FS196" s="98"/>
      <c r="FT196" s="98"/>
      <c r="FU196" s="98"/>
      <c r="FV196" s="98"/>
      <c r="FW196" s="98"/>
      <c r="FX196" s="98"/>
      <c r="FY196" s="98"/>
      <c r="FZ196" s="98"/>
      <c r="GA196" s="98"/>
      <c r="GB196" s="98"/>
      <c r="GC196" s="98"/>
      <c r="GD196" s="98"/>
      <c r="GE196" s="98"/>
      <c r="GF196" s="98"/>
      <c r="GG196" s="98"/>
      <c r="GH196" s="98"/>
      <c r="GI196" s="98"/>
      <c r="GJ196" s="98"/>
      <c r="GK196" s="98"/>
      <c r="GL196" s="98"/>
    </row>
    <row r="197" spans="1:194" ht="10.5" customHeight="1" x14ac:dyDescent="0.2">
      <c r="B197" s="121"/>
      <c r="C197" s="102" t="s">
        <v>97</v>
      </c>
      <c r="D197" s="103">
        <v>7</v>
      </c>
      <c r="E197" s="104" t="s">
        <v>98</v>
      </c>
      <c r="F197" s="106">
        <f>H197+J197+L197+N197+P197+R197+T197+V197+X197+Z197+AB197+AD197</f>
        <v>162939.69</v>
      </c>
      <c r="G197" s="107">
        <v>7</v>
      </c>
      <c r="H197" s="108">
        <f>6143.43</f>
        <v>6143.43</v>
      </c>
      <c r="I197" s="107">
        <v>7</v>
      </c>
      <c r="J197" s="108">
        <f>6407.09</f>
        <v>6407.09</v>
      </c>
      <c r="K197" s="107">
        <v>7</v>
      </c>
      <c r="L197" s="108">
        <f>12507.23</f>
        <v>12507.23</v>
      </c>
      <c r="M197" s="107">
        <v>7</v>
      </c>
      <c r="N197" s="108">
        <f>9908.14</f>
        <v>9908.14</v>
      </c>
      <c r="O197" s="107">
        <v>7</v>
      </c>
      <c r="P197" s="108">
        <f>18461.22</f>
        <v>18461.22</v>
      </c>
      <c r="Q197" s="107">
        <v>7</v>
      </c>
      <c r="R197" s="108">
        <f>16696.3</f>
        <v>16696.3</v>
      </c>
      <c r="S197" s="107">
        <v>7</v>
      </c>
      <c r="T197" s="108">
        <f>15401.57</f>
        <v>15401.57</v>
      </c>
      <c r="U197" s="107">
        <v>7</v>
      </c>
      <c r="V197" s="108">
        <f>13062.21</f>
        <v>13062.21</v>
      </c>
      <c r="W197" s="107">
        <v>7</v>
      </c>
      <c r="X197" s="108">
        <f>16132.5</f>
        <v>16132.5</v>
      </c>
      <c r="Y197" s="107">
        <v>7</v>
      </c>
      <c r="Z197" s="108">
        <v>18520</v>
      </c>
      <c r="AA197" s="107">
        <v>7</v>
      </c>
      <c r="AB197" s="108">
        <v>16200</v>
      </c>
      <c r="AC197" s="107">
        <v>7</v>
      </c>
      <c r="AD197" s="108">
        <v>13500</v>
      </c>
      <c r="AE197" s="130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  <c r="DQ197" s="98"/>
      <c r="DR197" s="98"/>
      <c r="DS197" s="98"/>
      <c r="DT197" s="98"/>
      <c r="DU197" s="98"/>
      <c r="DV197" s="98"/>
      <c r="DW197" s="98"/>
      <c r="DX197" s="98"/>
      <c r="DY197" s="98"/>
      <c r="DZ197" s="98"/>
      <c r="EA197" s="98"/>
      <c r="EB197" s="98"/>
      <c r="EC197" s="98"/>
      <c r="ED197" s="98"/>
      <c r="EE197" s="98"/>
      <c r="EF197" s="98"/>
      <c r="EG197" s="98"/>
      <c r="EH197" s="98"/>
      <c r="EI197" s="98"/>
      <c r="EJ197" s="98"/>
      <c r="EK197" s="98"/>
      <c r="EL197" s="98"/>
      <c r="EM197" s="98"/>
      <c r="EN197" s="98"/>
      <c r="EO197" s="98"/>
      <c r="EP197" s="98"/>
      <c r="EQ197" s="98"/>
      <c r="ER197" s="98"/>
      <c r="ES197" s="98"/>
      <c r="ET197" s="98"/>
      <c r="EU197" s="98"/>
      <c r="EV197" s="98"/>
      <c r="EW197" s="98"/>
      <c r="EX197" s="98"/>
      <c r="EY197" s="98"/>
      <c r="EZ197" s="98"/>
      <c r="FA197" s="98"/>
      <c r="FB197" s="98"/>
      <c r="FC197" s="98"/>
      <c r="FD197" s="98"/>
      <c r="FE197" s="98"/>
      <c r="FF197" s="98"/>
      <c r="FG197" s="98"/>
      <c r="FH197" s="98"/>
      <c r="FI197" s="98"/>
      <c r="FJ197" s="98"/>
      <c r="FK197" s="98"/>
      <c r="FL197" s="98"/>
      <c r="FM197" s="98"/>
      <c r="FN197" s="98"/>
      <c r="FO197" s="98"/>
      <c r="FP197" s="98"/>
      <c r="FQ197" s="98"/>
      <c r="FR197" s="98"/>
      <c r="FS197" s="98"/>
      <c r="FT197" s="98"/>
      <c r="FU197" s="98"/>
      <c r="FV197" s="98"/>
      <c r="FW197" s="98"/>
      <c r="FX197" s="98"/>
      <c r="FY197" s="98"/>
      <c r="FZ197" s="98"/>
      <c r="GA197" s="98"/>
      <c r="GB197" s="98"/>
      <c r="GC197" s="98"/>
      <c r="GD197" s="98"/>
      <c r="GE197" s="98"/>
      <c r="GF197" s="98"/>
      <c r="GG197" s="98"/>
      <c r="GH197" s="98"/>
      <c r="GI197" s="98"/>
      <c r="GJ197" s="98"/>
      <c r="GK197" s="98"/>
      <c r="GL197" s="98"/>
    </row>
    <row r="198" spans="1:194" ht="13.5" customHeight="1" x14ac:dyDescent="0.2">
      <c r="B198" s="24">
        <v>325</v>
      </c>
      <c r="C198" s="20" t="s">
        <v>99</v>
      </c>
      <c r="D198" s="28"/>
      <c r="E198" s="19"/>
      <c r="F198" s="25">
        <f>F199</f>
        <v>0</v>
      </c>
      <c r="G198" s="37" t="s">
        <v>42</v>
      </c>
      <c r="H198" s="23">
        <f>H199</f>
        <v>0</v>
      </c>
      <c r="I198" s="37" t="s">
        <v>42</v>
      </c>
      <c r="J198" s="23">
        <f>J199</f>
        <v>0</v>
      </c>
      <c r="K198" s="37" t="s">
        <v>42</v>
      </c>
      <c r="L198" s="23">
        <f>L199</f>
        <v>0</v>
      </c>
      <c r="M198" s="37" t="s">
        <v>42</v>
      </c>
      <c r="N198" s="23">
        <f>N199</f>
        <v>0</v>
      </c>
      <c r="O198" s="37" t="s">
        <v>42</v>
      </c>
      <c r="P198" s="23">
        <f>P199</f>
        <v>0</v>
      </c>
      <c r="Q198" s="37" t="s">
        <v>42</v>
      </c>
      <c r="R198" s="23">
        <f>R199</f>
        <v>0</v>
      </c>
      <c r="S198" s="37" t="s">
        <v>42</v>
      </c>
      <c r="T198" s="23">
        <f>T199</f>
        <v>0</v>
      </c>
      <c r="U198" s="37" t="s">
        <v>42</v>
      </c>
      <c r="V198" s="23">
        <f>V199</f>
        <v>0</v>
      </c>
      <c r="W198" s="37" t="s">
        <v>42</v>
      </c>
      <c r="X198" s="23">
        <f>X199</f>
        <v>0</v>
      </c>
      <c r="Y198" s="37" t="s">
        <v>42</v>
      </c>
      <c r="Z198" s="23">
        <f>Z199</f>
        <v>0</v>
      </c>
      <c r="AA198" s="37" t="s">
        <v>42</v>
      </c>
      <c r="AB198" s="23">
        <f>AB199</f>
        <v>0</v>
      </c>
      <c r="AC198" s="37" t="s">
        <v>42</v>
      </c>
      <c r="AD198" s="23">
        <f>AD199</f>
        <v>0</v>
      </c>
      <c r="AE198" s="130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98"/>
      <c r="DU198" s="98"/>
      <c r="DV198" s="98"/>
      <c r="DW198" s="98"/>
      <c r="DX198" s="98"/>
      <c r="DY198" s="98"/>
      <c r="DZ198" s="98"/>
      <c r="EA198" s="98"/>
      <c r="EB198" s="98"/>
      <c r="EC198" s="98"/>
      <c r="ED198" s="98"/>
      <c r="EE198" s="98"/>
      <c r="EF198" s="98"/>
      <c r="EG198" s="98"/>
      <c r="EH198" s="98"/>
      <c r="EI198" s="98"/>
      <c r="EJ198" s="98"/>
      <c r="EK198" s="98"/>
      <c r="EL198" s="98"/>
      <c r="EM198" s="98"/>
      <c r="EN198" s="98"/>
      <c r="EO198" s="98"/>
      <c r="EP198" s="98"/>
      <c r="EQ198" s="98"/>
      <c r="ER198" s="98"/>
      <c r="ES198" s="98"/>
      <c r="ET198" s="98"/>
      <c r="EU198" s="98"/>
      <c r="EV198" s="98"/>
      <c r="EW198" s="98"/>
      <c r="EX198" s="98"/>
      <c r="EY198" s="98"/>
      <c r="EZ198" s="98"/>
      <c r="FA198" s="98"/>
      <c r="FB198" s="98"/>
      <c r="FC198" s="98"/>
      <c r="FD198" s="98"/>
      <c r="FE198" s="98"/>
      <c r="FF198" s="98"/>
      <c r="FG198" s="98"/>
      <c r="FH198" s="98"/>
      <c r="FI198" s="98"/>
      <c r="FJ198" s="98"/>
      <c r="FK198" s="98"/>
      <c r="FL198" s="98"/>
      <c r="FM198" s="98"/>
      <c r="FN198" s="98"/>
      <c r="FO198" s="98"/>
      <c r="FP198" s="98"/>
      <c r="FQ198" s="98"/>
      <c r="FR198" s="98"/>
      <c r="FS198" s="98"/>
      <c r="FT198" s="98"/>
      <c r="FU198" s="98"/>
      <c r="FV198" s="98"/>
      <c r="FW198" s="98"/>
      <c r="FX198" s="98"/>
      <c r="FY198" s="98"/>
      <c r="FZ198" s="98"/>
      <c r="GA198" s="98"/>
      <c r="GB198" s="98"/>
      <c r="GC198" s="98"/>
      <c r="GD198" s="98"/>
      <c r="GE198" s="98"/>
      <c r="GF198" s="98"/>
      <c r="GG198" s="98"/>
      <c r="GH198" s="98"/>
      <c r="GI198" s="98"/>
      <c r="GJ198" s="98"/>
      <c r="GK198" s="98"/>
      <c r="GL198" s="98"/>
    </row>
    <row r="199" spans="1:194" ht="21.75" customHeight="1" x14ac:dyDescent="0.2">
      <c r="B199" s="24"/>
      <c r="C199" s="83" t="s">
        <v>100</v>
      </c>
      <c r="D199" s="28"/>
      <c r="E199" s="33"/>
      <c r="F199" s="30"/>
      <c r="G199" s="32"/>
      <c r="H199" s="31"/>
      <c r="I199" s="32"/>
      <c r="J199" s="31"/>
      <c r="K199" s="32"/>
      <c r="L199" s="31"/>
      <c r="M199" s="32"/>
      <c r="N199" s="31"/>
      <c r="O199" s="32"/>
      <c r="P199" s="31"/>
      <c r="Q199" s="32"/>
      <c r="R199" s="31"/>
      <c r="S199" s="32"/>
      <c r="T199" s="31"/>
      <c r="U199" s="32"/>
      <c r="V199" s="31"/>
      <c r="W199" s="32"/>
      <c r="X199" s="31"/>
      <c r="Y199" s="32"/>
      <c r="Z199" s="31"/>
      <c r="AA199" s="32"/>
      <c r="AB199" s="31"/>
      <c r="AC199" s="32"/>
      <c r="AD199" s="31"/>
      <c r="AE199" s="130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  <c r="DQ199" s="98"/>
      <c r="DR199" s="98"/>
      <c r="DS199" s="98"/>
      <c r="DT199" s="98"/>
      <c r="DU199" s="98"/>
      <c r="DV199" s="98"/>
      <c r="DW199" s="98"/>
      <c r="DX199" s="98"/>
      <c r="DY199" s="98"/>
      <c r="DZ199" s="98"/>
      <c r="EA199" s="98"/>
      <c r="EB199" s="98"/>
      <c r="EC199" s="98"/>
      <c r="ED199" s="98"/>
      <c r="EE199" s="98"/>
      <c r="EF199" s="98"/>
      <c r="EG199" s="98"/>
      <c r="EH199" s="98"/>
      <c r="EI199" s="98"/>
      <c r="EJ199" s="98"/>
      <c r="EK199" s="98"/>
      <c r="EL199" s="98"/>
      <c r="EM199" s="98"/>
      <c r="EN199" s="98"/>
      <c r="EO199" s="98"/>
      <c r="EP199" s="98"/>
      <c r="EQ199" s="98"/>
      <c r="ER199" s="98"/>
      <c r="ES199" s="98"/>
      <c r="ET199" s="98"/>
      <c r="EU199" s="98"/>
      <c r="EV199" s="98"/>
      <c r="EW199" s="98"/>
      <c r="EX199" s="98"/>
      <c r="EY199" s="98"/>
      <c r="EZ199" s="98"/>
      <c r="FA199" s="98"/>
      <c r="FB199" s="98"/>
      <c r="FC199" s="98"/>
      <c r="FD199" s="98"/>
      <c r="FE199" s="98"/>
      <c r="FF199" s="98"/>
      <c r="FG199" s="98"/>
      <c r="FH199" s="98"/>
      <c r="FI199" s="98"/>
      <c r="FJ199" s="98"/>
      <c r="FK199" s="98"/>
      <c r="FL199" s="98"/>
      <c r="FM199" s="98"/>
      <c r="FN199" s="98"/>
      <c r="FO199" s="98"/>
      <c r="FP199" s="98"/>
      <c r="FQ199" s="98"/>
      <c r="FR199" s="98"/>
      <c r="FS199" s="98"/>
      <c r="FT199" s="98"/>
      <c r="FU199" s="98"/>
      <c r="FV199" s="98"/>
      <c r="FW199" s="98"/>
      <c r="FX199" s="98"/>
      <c r="FY199" s="98"/>
      <c r="FZ199" s="98"/>
      <c r="GA199" s="98"/>
      <c r="GB199" s="98"/>
      <c r="GC199" s="98"/>
      <c r="GD199" s="98"/>
      <c r="GE199" s="98"/>
      <c r="GF199" s="98"/>
      <c r="GG199" s="98"/>
      <c r="GH199" s="98"/>
      <c r="GI199" s="98"/>
      <c r="GJ199" s="98"/>
      <c r="GK199" s="98"/>
      <c r="GL199" s="98"/>
    </row>
    <row r="200" spans="1:194" ht="13.5" customHeight="1" x14ac:dyDescent="0.2">
      <c r="B200" s="24">
        <v>327</v>
      </c>
      <c r="C200" s="20" t="s">
        <v>101</v>
      </c>
      <c r="D200" s="28"/>
      <c r="E200" s="33"/>
      <c r="F200" s="48">
        <f>SUM(K200:AG200)</f>
        <v>0</v>
      </c>
      <c r="G200" s="37"/>
      <c r="H200" s="23">
        <f>H201</f>
        <v>0</v>
      </c>
      <c r="I200" s="37"/>
      <c r="J200" s="23">
        <f>J201</f>
        <v>0</v>
      </c>
      <c r="K200" s="37"/>
      <c r="L200" s="23">
        <f>L201</f>
        <v>0</v>
      </c>
      <c r="M200" s="37"/>
      <c r="N200" s="23">
        <f>N201</f>
        <v>0</v>
      </c>
      <c r="O200" s="37"/>
      <c r="P200" s="23">
        <f>P201</f>
        <v>0</v>
      </c>
      <c r="Q200" s="37"/>
      <c r="R200" s="23">
        <f>R201</f>
        <v>0</v>
      </c>
      <c r="S200" s="37"/>
      <c r="T200" s="23">
        <f>T201</f>
        <v>0</v>
      </c>
      <c r="U200" s="37"/>
      <c r="V200" s="23">
        <f>V201</f>
        <v>0</v>
      </c>
      <c r="W200" s="37"/>
      <c r="X200" s="23">
        <f>X201</f>
        <v>0</v>
      </c>
      <c r="Y200" s="37"/>
      <c r="Z200" s="23">
        <f>Z201</f>
        <v>0</v>
      </c>
      <c r="AA200" s="37"/>
      <c r="AB200" s="23">
        <f>AB201</f>
        <v>0</v>
      </c>
      <c r="AC200" s="37"/>
      <c r="AD200" s="23">
        <f>AD201</f>
        <v>0</v>
      </c>
      <c r="AE200" s="130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  <c r="DQ200" s="98"/>
      <c r="DR200" s="98"/>
      <c r="DS200" s="98"/>
      <c r="DT200" s="98"/>
      <c r="DU200" s="98"/>
      <c r="DV200" s="98"/>
      <c r="DW200" s="98"/>
      <c r="DX200" s="98"/>
      <c r="DY200" s="98"/>
      <c r="DZ200" s="98"/>
      <c r="EA200" s="98"/>
      <c r="EB200" s="98"/>
      <c r="EC200" s="98"/>
      <c r="ED200" s="98"/>
      <c r="EE200" s="98"/>
      <c r="EF200" s="98"/>
      <c r="EG200" s="98"/>
      <c r="EH200" s="98"/>
      <c r="EI200" s="98"/>
      <c r="EJ200" s="98"/>
      <c r="EK200" s="98"/>
      <c r="EL200" s="98"/>
      <c r="EM200" s="98"/>
      <c r="EN200" s="98"/>
      <c r="EO200" s="98"/>
      <c r="EP200" s="98"/>
      <c r="EQ200" s="98"/>
      <c r="ER200" s="98"/>
      <c r="ES200" s="98"/>
      <c r="ET200" s="98"/>
      <c r="EU200" s="98"/>
      <c r="EV200" s="98"/>
      <c r="EW200" s="98"/>
      <c r="EX200" s="98"/>
      <c r="EY200" s="98"/>
      <c r="EZ200" s="98"/>
      <c r="FA200" s="98"/>
      <c r="FB200" s="98"/>
      <c r="FC200" s="98"/>
      <c r="FD200" s="98"/>
      <c r="FE200" s="98"/>
      <c r="FF200" s="98"/>
      <c r="FG200" s="98"/>
      <c r="FH200" s="98"/>
      <c r="FI200" s="98"/>
      <c r="FJ200" s="98"/>
      <c r="FK200" s="98"/>
      <c r="FL200" s="98"/>
      <c r="FM200" s="98"/>
      <c r="FN200" s="98"/>
      <c r="FO200" s="98"/>
      <c r="FP200" s="98"/>
      <c r="FQ200" s="98"/>
      <c r="FR200" s="98"/>
      <c r="FS200" s="98"/>
      <c r="FT200" s="98"/>
      <c r="FU200" s="98"/>
      <c r="FV200" s="98"/>
      <c r="FW200" s="98"/>
      <c r="FX200" s="98"/>
      <c r="FY200" s="98"/>
      <c r="FZ200" s="98"/>
      <c r="GA200" s="98"/>
      <c r="GB200" s="98"/>
      <c r="GC200" s="98"/>
      <c r="GD200" s="98"/>
      <c r="GE200" s="98"/>
      <c r="GF200" s="98"/>
      <c r="GG200" s="98"/>
      <c r="GH200" s="98"/>
      <c r="GI200" s="98"/>
      <c r="GJ200" s="98"/>
      <c r="GK200" s="98"/>
      <c r="GL200" s="98"/>
    </row>
    <row r="201" spans="1:194" ht="14.25" customHeight="1" x14ac:dyDescent="0.2">
      <c r="B201" s="24"/>
      <c r="C201" s="83" t="s">
        <v>188</v>
      </c>
      <c r="D201" s="28"/>
      <c r="E201" s="33"/>
      <c r="F201" s="30"/>
      <c r="G201" s="32"/>
      <c r="H201" s="31"/>
      <c r="I201" s="32"/>
      <c r="J201" s="31"/>
      <c r="K201" s="32"/>
      <c r="L201" s="31"/>
      <c r="M201" s="32"/>
      <c r="N201" s="31"/>
      <c r="O201" s="32"/>
      <c r="P201" s="31"/>
      <c r="Q201" s="32"/>
      <c r="R201" s="31"/>
      <c r="S201" s="32"/>
      <c r="T201" s="31"/>
      <c r="U201" s="32"/>
      <c r="V201" s="31"/>
      <c r="W201" s="32"/>
      <c r="X201" s="31"/>
      <c r="Y201" s="32"/>
      <c r="Z201" s="31"/>
      <c r="AA201" s="32"/>
      <c r="AB201" s="31"/>
      <c r="AC201" s="32"/>
      <c r="AD201" s="31"/>
      <c r="AE201" s="130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  <c r="DT201" s="98"/>
      <c r="DU201" s="98"/>
      <c r="DV201" s="98"/>
      <c r="DW201" s="98"/>
      <c r="DX201" s="98"/>
      <c r="DY201" s="98"/>
      <c r="DZ201" s="98"/>
      <c r="EA201" s="98"/>
      <c r="EB201" s="98"/>
      <c r="EC201" s="98"/>
      <c r="ED201" s="98"/>
      <c r="EE201" s="98"/>
      <c r="EF201" s="98"/>
      <c r="EG201" s="98"/>
      <c r="EH201" s="98"/>
      <c r="EI201" s="98"/>
      <c r="EJ201" s="98"/>
      <c r="EK201" s="98"/>
      <c r="EL201" s="98"/>
      <c r="EM201" s="98"/>
      <c r="EN201" s="98"/>
      <c r="EO201" s="98"/>
      <c r="EP201" s="98"/>
      <c r="EQ201" s="98"/>
      <c r="ER201" s="98"/>
      <c r="ES201" s="98"/>
      <c r="ET201" s="98"/>
      <c r="EU201" s="98"/>
      <c r="EV201" s="98"/>
      <c r="EW201" s="98"/>
      <c r="EX201" s="98"/>
      <c r="EY201" s="98"/>
      <c r="EZ201" s="98"/>
      <c r="FA201" s="98"/>
      <c r="FB201" s="98"/>
      <c r="FC201" s="98"/>
      <c r="FD201" s="98"/>
      <c r="FE201" s="98"/>
      <c r="FF201" s="98"/>
      <c r="FG201" s="98"/>
      <c r="FH201" s="98"/>
      <c r="FI201" s="98"/>
      <c r="FJ201" s="98"/>
      <c r="FK201" s="98"/>
      <c r="FL201" s="98"/>
      <c r="FM201" s="98"/>
      <c r="FN201" s="98"/>
      <c r="FO201" s="98"/>
      <c r="FP201" s="98"/>
      <c r="FQ201" s="98"/>
      <c r="FR201" s="98"/>
      <c r="FS201" s="98"/>
      <c r="FT201" s="98"/>
      <c r="FU201" s="98"/>
      <c r="FV201" s="98"/>
      <c r="FW201" s="98"/>
      <c r="FX201" s="98"/>
      <c r="FY201" s="98"/>
      <c r="FZ201" s="98"/>
      <c r="GA201" s="98"/>
      <c r="GB201" s="98"/>
      <c r="GC201" s="98"/>
      <c r="GD201" s="98"/>
      <c r="GE201" s="98"/>
      <c r="GF201" s="98"/>
      <c r="GG201" s="98"/>
      <c r="GH201" s="98"/>
      <c r="GI201" s="98"/>
      <c r="GJ201" s="98"/>
      <c r="GK201" s="98"/>
      <c r="GL201" s="98"/>
    </row>
    <row r="202" spans="1:194" ht="24.75" customHeight="1" x14ac:dyDescent="0.2">
      <c r="B202" s="51">
        <v>3300</v>
      </c>
      <c r="C202" s="20" t="s">
        <v>102</v>
      </c>
      <c r="D202" s="28"/>
      <c r="E202" s="22"/>
      <c r="F202" s="23">
        <f>SUM(F203+F205+F207+F209)</f>
        <v>0</v>
      </c>
      <c r="G202" s="37"/>
      <c r="H202" s="23">
        <f>SUM(H203+H205+H207+H209)</f>
        <v>0</v>
      </c>
      <c r="I202" s="37" t="s">
        <v>42</v>
      </c>
      <c r="J202" s="23">
        <f>SUM(J203+J205+J207+J209)</f>
        <v>0</v>
      </c>
      <c r="K202" s="37"/>
      <c r="L202" s="23">
        <f>SUM(L203+L205+L207+L209)</f>
        <v>0</v>
      </c>
      <c r="M202" s="37"/>
      <c r="N202" s="23">
        <f>SUM(N203+N205+N207+N209)</f>
        <v>0</v>
      </c>
      <c r="O202" s="37"/>
      <c r="P202" s="23">
        <v>0</v>
      </c>
      <c r="Q202" s="37"/>
      <c r="R202" s="23">
        <f>SUM(R203+R205+R207+R209)</f>
        <v>0</v>
      </c>
      <c r="S202" s="37"/>
      <c r="T202" s="23">
        <f>SUM(T203+T205+T207+T209)</f>
        <v>0</v>
      </c>
      <c r="U202" s="37"/>
      <c r="V202" s="23">
        <f>SUM(V203+V205+V207+V209)</f>
        <v>0</v>
      </c>
      <c r="W202" s="37"/>
      <c r="X202" s="23">
        <f>SUM(X203+X205+X207+X209)</f>
        <v>0</v>
      </c>
      <c r="Y202" s="37"/>
      <c r="Z202" s="23">
        <f>SUM(Z203+Z205+Z207+Z209)</f>
        <v>0</v>
      </c>
      <c r="AA202" s="37"/>
      <c r="AB202" s="23">
        <f>SUM(AB203+AB205+AB207+AB209)</f>
        <v>0</v>
      </c>
      <c r="AC202" s="37"/>
      <c r="AD202" s="23">
        <f>SUM(AD203+AD205+AD207+AD209)</f>
        <v>0</v>
      </c>
      <c r="AE202" s="130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</row>
    <row r="203" spans="1:194" ht="21.75" customHeight="1" x14ac:dyDescent="0.2">
      <c r="A203" s="89"/>
      <c r="B203" s="24">
        <v>331</v>
      </c>
      <c r="C203" s="20" t="s">
        <v>138</v>
      </c>
      <c r="D203" s="34"/>
      <c r="E203" s="19"/>
      <c r="F203" s="41">
        <f>F204</f>
        <v>0</v>
      </c>
      <c r="G203" s="39"/>
      <c r="H203" s="41">
        <f>H204</f>
        <v>0</v>
      </c>
      <c r="I203" s="39"/>
      <c r="J203" s="41">
        <f>J204</f>
        <v>0</v>
      </c>
      <c r="K203" s="39"/>
      <c r="L203" s="41">
        <f>L204</f>
        <v>0</v>
      </c>
      <c r="M203" s="39"/>
      <c r="N203" s="41">
        <f>N204</f>
        <v>0</v>
      </c>
      <c r="O203" s="39"/>
      <c r="P203" s="41">
        <f>P204</f>
        <v>0</v>
      </c>
      <c r="Q203" s="39"/>
      <c r="R203" s="41">
        <f>R204</f>
        <v>0</v>
      </c>
      <c r="S203" s="39"/>
      <c r="T203" s="41">
        <f>T204</f>
        <v>0</v>
      </c>
      <c r="U203" s="39"/>
      <c r="V203" s="41">
        <f>V204</f>
        <v>0</v>
      </c>
      <c r="W203" s="39"/>
      <c r="X203" s="41">
        <f>X204</f>
        <v>0</v>
      </c>
      <c r="Y203" s="39"/>
      <c r="Z203" s="41">
        <f>Z204</f>
        <v>0</v>
      </c>
      <c r="AA203" s="39"/>
      <c r="AB203" s="41">
        <f>AB204</f>
        <v>0</v>
      </c>
      <c r="AC203" s="39"/>
      <c r="AD203" s="41">
        <f>AD204</f>
        <v>0</v>
      </c>
      <c r="AE203" s="130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  <c r="DT203" s="98"/>
      <c r="DU203" s="98"/>
      <c r="DV203" s="98"/>
      <c r="DW203" s="98"/>
      <c r="DX203" s="98"/>
      <c r="DY203" s="98"/>
      <c r="DZ203" s="98"/>
      <c r="EA203" s="98"/>
      <c r="EB203" s="98"/>
      <c r="EC203" s="98"/>
      <c r="ED203" s="98"/>
      <c r="EE203" s="98"/>
      <c r="EF203" s="98"/>
      <c r="EG203" s="98"/>
      <c r="EH203" s="98"/>
      <c r="EI203" s="98"/>
      <c r="EJ203" s="98"/>
      <c r="EK203" s="98"/>
      <c r="EL203" s="98"/>
      <c r="EM203" s="98"/>
      <c r="EN203" s="98"/>
      <c r="EO203" s="98"/>
      <c r="EP203" s="98"/>
      <c r="EQ203" s="98"/>
      <c r="ER203" s="98"/>
      <c r="ES203" s="98"/>
      <c r="ET203" s="98"/>
      <c r="EU203" s="98"/>
      <c r="EV203" s="98"/>
      <c r="EW203" s="98"/>
      <c r="EX203" s="98"/>
      <c r="EY203" s="98"/>
      <c r="EZ203" s="98"/>
      <c r="FA203" s="98"/>
      <c r="FB203" s="98"/>
      <c r="FC203" s="98"/>
      <c r="FD203" s="98"/>
      <c r="FE203" s="98"/>
      <c r="FF203" s="98"/>
      <c r="FG203" s="98"/>
      <c r="FH203" s="98"/>
      <c r="FI203" s="98"/>
      <c r="FJ203" s="98"/>
      <c r="FK203" s="98"/>
      <c r="FL203" s="98"/>
      <c r="FM203" s="98"/>
      <c r="FN203" s="98"/>
      <c r="FO203" s="98"/>
      <c r="FP203" s="98"/>
      <c r="FQ203" s="98"/>
      <c r="FR203" s="98"/>
      <c r="FS203" s="98"/>
      <c r="FT203" s="98"/>
      <c r="FU203" s="98"/>
      <c r="FV203" s="98"/>
      <c r="FW203" s="98"/>
      <c r="FX203" s="98"/>
      <c r="FY203" s="98"/>
      <c r="FZ203" s="98"/>
      <c r="GA203" s="98"/>
      <c r="GB203" s="98"/>
      <c r="GC203" s="98"/>
      <c r="GD203" s="98"/>
      <c r="GE203" s="98"/>
      <c r="GF203" s="98"/>
      <c r="GG203" s="98"/>
      <c r="GH203" s="98"/>
      <c r="GI203" s="98"/>
      <c r="GJ203" s="98"/>
      <c r="GK203" s="98"/>
      <c r="GL203" s="98"/>
    </row>
    <row r="204" spans="1:194" ht="25.5" customHeight="1" x14ac:dyDescent="0.2">
      <c r="A204" s="90"/>
      <c r="B204" s="53"/>
      <c r="C204" s="83" t="s">
        <v>137</v>
      </c>
      <c r="D204" s="28"/>
      <c r="E204" s="29"/>
      <c r="F204" s="30"/>
      <c r="G204" s="32"/>
      <c r="H204" s="53"/>
      <c r="I204" s="32"/>
      <c r="J204" s="53"/>
      <c r="K204" s="32"/>
      <c r="L204" s="53"/>
      <c r="M204" s="32"/>
      <c r="N204" s="53"/>
      <c r="O204" s="32"/>
      <c r="P204" s="53"/>
      <c r="Q204" s="32"/>
      <c r="R204" s="53"/>
      <c r="S204" s="32"/>
      <c r="T204" s="53"/>
      <c r="U204" s="32"/>
      <c r="V204" s="53"/>
      <c r="W204" s="32"/>
      <c r="X204" s="53"/>
      <c r="Y204" s="32"/>
      <c r="Z204" s="53"/>
      <c r="AA204" s="32"/>
      <c r="AB204" s="53"/>
      <c r="AC204" s="32"/>
      <c r="AD204" s="53"/>
      <c r="AE204" s="130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8"/>
      <c r="FK204" s="98"/>
      <c r="FL204" s="98"/>
      <c r="FM204" s="98"/>
      <c r="FN204" s="98"/>
      <c r="FO204" s="98"/>
      <c r="FP204" s="98"/>
      <c r="FQ204" s="98"/>
      <c r="FR204" s="98"/>
      <c r="FS204" s="98"/>
      <c r="FT204" s="98"/>
      <c r="FU204" s="98"/>
      <c r="FV204" s="98"/>
      <c r="FW204" s="98"/>
      <c r="FX204" s="98"/>
      <c r="FY204" s="98"/>
      <c r="FZ204" s="98"/>
      <c r="GA204" s="98"/>
      <c r="GB204" s="98"/>
      <c r="GC204" s="98"/>
      <c r="GD204" s="98"/>
      <c r="GE204" s="98"/>
      <c r="GF204" s="98"/>
      <c r="GG204" s="98"/>
      <c r="GH204" s="98"/>
      <c r="GI204" s="98"/>
      <c r="GJ204" s="98"/>
      <c r="GK204" s="98"/>
      <c r="GL204" s="98"/>
    </row>
    <row r="205" spans="1:194" ht="35.25" customHeight="1" x14ac:dyDescent="0.2">
      <c r="B205" s="24">
        <v>333</v>
      </c>
      <c r="C205" s="20" t="s">
        <v>103</v>
      </c>
      <c r="D205" s="28"/>
      <c r="E205" s="19"/>
      <c r="F205" s="41">
        <f>F206</f>
        <v>0</v>
      </c>
      <c r="G205" s="37" t="s">
        <v>42</v>
      </c>
      <c r="H205" s="41">
        <f>H206</f>
        <v>0</v>
      </c>
      <c r="I205" s="37" t="s">
        <v>42</v>
      </c>
      <c r="J205" s="26">
        <f>J206</f>
        <v>0</v>
      </c>
      <c r="K205" s="37"/>
      <c r="L205" s="26">
        <f>L206</f>
        <v>0</v>
      </c>
      <c r="M205" s="37"/>
      <c r="N205" s="26">
        <f>N206</f>
        <v>0</v>
      </c>
      <c r="O205" s="37"/>
      <c r="P205" s="26">
        <f>P206</f>
        <v>0</v>
      </c>
      <c r="Q205" s="37"/>
      <c r="R205" s="26">
        <f>R206</f>
        <v>0</v>
      </c>
      <c r="S205" s="37"/>
      <c r="T205" s="26">
        <f>T206</f>
        <v>0</v>
      </c>
      <c r="U205" s="37"/>
      <c r="V205" s="26">
        <f>V206</f>
        <v>0</v>
      </c>
      <c r="W205" s="37"/>
      <c r="X205" s="26">
        <f>X206</f>
        <v>0</v>
      </c>
      <c r="Y205" s="37"/>
      <c r="Z205" s="26">
        <f>Z206</f>
        <v>0</v>
      </c>
      <c r="AA205" s="37"/>
      <c r="AB205" s="26">
        <f>AB206</f>
        <v>0</v>
      </c>
      <c r="AC205" s="37"/>
      <c r="AD205" s="26">
        <f>AD206</f>
        <v>0</v>
      </c>
      <c r="AE205" s="130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98"/>
      <c r="ER205" s="98"/>
      <c r="ES205" s="98"/>
      <c r="ET205" s="98"/>
      <c r="EU205" s="98"/>
      <c r="EV205" s="98"/>
      <c r="EW205" s="98"/>
      <c r="EX205" s="98"/>
      <c r="EY205" s="98"/>
      <c r="EZ205" s="98"/>
      <c r="FA205" s="98"/>
      <c r="FB205" s="98"/>
      <c r="FC205" s="98"/>
      <c r="FD205" s="98"/>
      <c r="FE205" s="98"/>
      <c r="FF205" s="98"/>
      <c r="FG205" s="98"/>
      <c r="FH205" s="98"/>
      <c r="FI205" s="98"/>
      <c r="FJ205" s="98"/>
      <c r="FK205" s="98"/>
      <c r="FL205" s="98"/>
      <c r="FM205" s="98"/>
      <c r="FN205" s="98"/>
      <c r="FO205" s="98"/>
      <c r="FP205" s="98"/>
      <c r="FQ205" s="98"/>
      <c r="FR205" s="98"/>
      <c r="FS205" s="98"/>
      <c r="FT205" s="98"/>
      <c r="FU205" s="98"/>
      <c r="FV205" s="98"/>
      <c r="FW205" s="98"/>
      <c r="FX205" s="98"/>
      <c r="FY205" s="98"/>
      <c r="FZ205" s="98"/>
      <c r="GA205" s="98"/>
      <c r="GB205" s="98"/>
      <c r="GC205" s="98"/>
      <c r="GD205" s="98"/>
      <c r="GE205" s="98"/>
      <c r="GF205" s="98"/>
      <c r="GG205" s="98"/>
      <c r="GH205" s="98"/>
      <c r="GI205" s="98"/>
      <c r="GJ205" s="98"/>
      <c r="GK205" s="98"/>
      <c r="GL205" s="98"/>
    </row>
    <row r="206" spans="1:194" ht="12" customHeight="1" x14ac:dyDescent="0.2">
      <c r="B206" s="24"/>
      <c r="C206" s="83" t="s">
        <v>104</v>
      </c>
      <c r="D206" s="28"/>
      <c r="E206" s="29"/>
      <c r="F206" s="36"/>
      <c r="G206" s="32"/>
      <c r="H206" s="53"/>
      <c r="I206" s="32"/>
      <c r="J206" s="53"/>
      <c r="K206" s="32"/>
      <c r="L206" s="53"/>
      <c r="M206" s="32"/>
      <c r="N206" s="53"/>
      <c r="O206" s="32"/>
      <c r="P206" s="53"/>
      <c r="Q206" s="32"/>
      <c r="R206" s="53"/>
      <c r="S206" s="32"/>
      <c r="T206" s="53"/>
      <c r="U206" s="32"/>
      <c r="V206" s="53"/>
      <c r="W206" s="32"/>
      <c r="X206" s="53"/>
      <c r="Y206" s="32"/>
      <c r="Z206" s="53"/>
      <c r="AA206" s="32"/>
      <c r="AB206" s="53"/>
      <c r="AC206" s="32"/>
      <c r="AD206" s="53"/>
      <c r="AE206" s="130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98"/>
      <c r="EF206" s="98"/>
      <c r="EG206" s="98"/>
      <c r="EH206" s="98"/>
      <c r="EI206" s="98"/>
      <c r="EJ206" s="98"/>
      <c r="EK206" s="98"/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98"/>
      <c r="FI206" s="98"/>
      <c r="FJ206" s="98"/>
      <c r="FK206" s="98"/>
      <c r="FL206" s="98"/>
      <c r="FM206" s="98"/>
      <c r="FN206" s="98"/>
      <c r="FO206" s="98"/>
      <c r="FP206" s="98"/>
      <c r="FQ206" s="98"/>
      <c r="FR206" s="98"/>
      <c r="FS206" s="98"/>
      <c r="FT206" s="98"/>
      <c r="FU206" s="98"/>
      <c r="FV206" s="98"/>
      <c r="FW206" s="98"/>
      <c r="FX206" s="98"/>
      <c r="FY206" s="98"/>
      <c r="FZ206" s="98"/>
      <c r="GA206" s="98"/>
      <c r="GB206" s="98"/>
      <c r="GC206" s="98"/>
      <c r="GD206" s="98"/>
      <c r="GE206" s="98"/>
      <c r="GF206" s="98"/>
      <c r="GG206" s="98"/>
      <c r="GH206" s="98"/>
      <c r="GI206" s="98"/>
      <c r="GJ206" s="98"/>
      <c r="GK206" s="98"/>
      <c r="GL206" s="98"/>
    </row>
    <row r="207" spans="1:194" ht="12.75" customHeight="1" x14ac:dyDescent="0.2">
      <c r="B207" s="24">
        <v>334</v>
      </c>
      <c r="C207" s="20" t="s">
        <v>105</v>
      </c>
      <c r="D207" s="34"/>
      <c r="E207" s="19"/>
      <c r="F207" s="25">
        <f>F208</f>
        <v>0</v>
      </c>
      <c r="G207" s="39" t="s">
        <v>42</v>
      </c>
      <c r="H207" s="40">
        <f>H208</f>
        <v>0</v>
      </c>
      <c r="I207" s="39" t="s">
        <v>42</v>
      </c>
      <c r="J207" s="40">
        <f>J208</f>
        <v>0</v>
      </c>
      <c r="K207" s="39"/>
      <c r="L207" s="40">
        <f>L208</f>
        <v>0</v>
      </c>
      <c r="M207" s="39" t="s">
        <v>42</v>
      </c>
      <c r="N207" s="40">
        <f>N208</f>
        <v>0</v>
      </c>
      <c r="O207" s="39" t="s">
        <v>42</v>
      </c>
      <c r="P207" s="40">
        <f>P208</f>
        <v>0</v>
      </c>
      <c r="Q207" s="39" t="s">
        <v>42</v>
      </c>
      <c r="R207" s="40">
        <f>R208</f>
        <v>0</v>
      </c>
      <c r="S207" s="39" t="s">
        <v>42</v>
      </c>
      <c r="T207" s="40">
        <f>T208</f>
        <v>0</v>
      </c>
      <c r="U207" s="39" t="s">
        <v>42</v>
      </c>
      <c r="V207" s="40">
        <f>V208</f>
        <v>0</v>
      </c>
      <c r="W207" s="39" t="s">
        <v>42</v>
      </c>
      <c r="X207" s="40">
        <f>X208</f>
        <v>0</v>
      </c>
      <c r="Y207" s="39" t="s">
        <v>42</v>
      </c>
      <c r="Z207" s="40">
        <f>Z208</f>
        <v>0</v>
      </c>
      <c r="AA207" s="39" t="s">
        <v>42</v>
      </c>
      <c r="AB207" s="40">
        <f>AB208</f>
        <v>0</v>
      </c>
      <c r="AC207" s="39" t="s">
        <v>42</v>
      </c>
      <c r="AD207" s="40">
        <f>AD208</f>
        <v>0</v>
      </c>
      <c r="AE207" s="130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  <c r="DQ207" s="9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98"/>
      <c r="EF207" s="98"/>
      <c r="EG207" s="98"/>
      <c r="EH207" s="98"/>
      <c r="EI207" s="98"/>
      <c r="EJ207" s="98"/>
      <c r="EK207" s="98"/>
      <c r="EL207" s="98"/>
      <c r="EM207" s="98"/>
      <c r="EN207" s="98"/>
      <c r="EO207" s="98"/>
      <c r="EP207" s="98"/>
      <c r="EQ207" s="98"/>
      <c r="ER207" s="98"/>
      <c r="ES207" s="98"/>
      <c r="ET207" s="98"/>
      <c r="EU207" s="98"/>
      <c r="EV207" s="98"/>
      <c r="EW207" s="98"/>
      <c r="EX207" s="98"/>
      <c r="EY207" s="98"/>
      <c r="EZ207" s="98"/>
      <c r="FA207" s="98"/>
      <c r="FB207" s="98"/>
      <c r="FC207" s="98"/>
      <c r="FD207" s="98"/>
      <c r="FE207" s="98"/>
      <c r="FF207" s="98"/>
      <c r="FG207" s="98"/>
      <c r="FH207" s="98"/>
      <c r="FI207" s="98"/>
      <c r="FJ207" s="98"/>
      <c r="FK207" s="98"/>
      <c r="FL207" s="98"/>
      <c r="FM207" s="98"/>
      <c r="FN207" s="98"/>
      <c r="FO207" s="98"/>
      <c r="FP207" s="98"/>
      <c r="FQ207" s="98"/>
      <c r="FR207" s="98"/>
      <c r="FS207" s="98"/>
      <c r="FT207" s="98"/>
      <c r="FU207" s="98"/>
      <c r="FV207" s="98"/>
      <c r="FW207" s="98"/>
      <c r="FX207" s="98"/>
      <c r="FY207" s="98"/>
      <c r="FZ207" s="98"/>
      <c r="GA207" s="98"/>
      <c r="GB207" s="98"/>
      <c r="GC207" s="98"/>
      <c r="GD207" s="98"/>
      <c r="GE207" s="98"/>
      <c r="GF207" s="98"/>
      <c r="GG207" s="98"/>
      <c r="GH207" s="98"/>
      <c r="GI207" s="98"/>
      <c r="GJ207" s="98"/>
      <c r="GK207" s="98"/>
      <c r="GL207" s="98"/>
    </row>
    <row r="208" spans="1:194" ht="35.25" customHeight="1" x14ac:dyDescent="0.2">
      <c r="B208" s="24"/>
      <c r="C208" s="83" t="s">
        <v>106</v>
      </c>
      <c r="D208" s="28"/>
      <c r="E208" s="29"/>
      <c r="F208" s="30"/>
      <c r="G208" s="32"/>
      <c r="H208" s="31"/>
      <c r="I208" s="32"/>
      <c r="J208" s="31"/>
      <c r="K208" s="32"/>
      <c r="L208" s="31"/>
      <c r="M208" s="32"/>
      <c r="N208" s="31"/>
      <c r="O208" s="32"/>
      <c r="P208" s="31"/>
      <c r="Q208" s="32"/>
      <c r="R208" s="31"/>
      <c r="S208" s="32"/>
      <c r="T208" s="31"/>
      <c r="U208" s="32"/>
      <c r="V208" s="31"/>
      <c r="W208" s="32"/>
      <c r="X208" s="31"/>
      <c r="Y208" s="32"/>
      <c r="Z208" s="31"/>
      <c r="AA208" s="32"/>
      <c r="AB208" s="31"/>
      <c r="AC208" s="32"/>
      <c r="AD208" s="31"/>
      <c r="AE208" s="130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98"/>
      <c r="DL208" s="98"/>
      <c r="DM208" s="98"/>
      <c r="DN208" s="98"/>
      <c r="DO208" s="98"/>
      <c r="DP208" s="98"/>
      <c r="DQ208" s="98"/>
      <c r="DR208" s="98"/>
      <c r="DS208" s="98"/>
      <c r="DT208" s="98"/>
      <c r="DU208" s="98"/>
      <c r="DV208" s="98"/>
      <c r="DW208" s="98"/>
      <c r="DX208" s="98"/>
      <c r="DY208" s="98"/>
      <c r="DZ208" s="98"/>
      <c r="EA208" s="98"/>
      <c r="EB208" s="98"/>
      <c r="EC208" s="98"/>
      <c r="ED208" s="98"/>
      <c r="EE208" s="98"/>
      <c r="EF208" s="98"/>
      <c r="EG208" s="98"/>
      <c r="EH208" s="98"/>
      <c r="EI208" s="98"/>
      <c r="EJ208" s="98"/>
      <c r="EK208" s="98"/>
      <c r="EL208" s="98"/>
      <c r="EM208" s="98"/>
      <c r="EN208" s="98"/>
      <c r="EO208" s="98"/>
      <c r="EP208" s="98"/>
      <c r="EQ208" s="98"/>
      <c r="ER208" s="98"/>
      <c r="ES208" s="98"/>
      <c r="ET208" s="98"/>
      <c r="EU208" s="98"/>
      <c r="EV208" s="98"/>
      <c r="EW208" s="98"/>
      <c r="EX208" s="98"/>
      <c r="EY208" s="98"/>
      <c r="EZ208" s="98"/>
      <c r="FA208" s="98"/>
      <c r="FB208" s="98"/>
      <c r="FC208" s="98"/>
      <c r="FD208" s="98"/>
      <c r="FE208" s="98"/>
      <c r="FF208" s="98"/>
      <c r="FG208" s="98"/>
      <c r="FH208" s="98"/>
      <c r="FI208" s="98"/>
      <c r="FJ208" s="98"/>
      <c r="FK208" s="98"/>
      <c r="FL208" s="98"/>
      <c r="FM208" s="98"/>
      <c r="FN208" s="98"/>
      <c r="FO208" s="98"/>
      <c r="FP208" s="98"/>
      <c r="FQ208" s="98"/>
      <c r="FR208" s="98"/>
      <c r="FS208" s="98"/>
      <c r="FT208" s="98"/>
      <c r="FU208" s="98"/>
      <c r="FV208" s="98"/>
      <c r="FW208" s="98"/>
      <c r="FX208" s="98"/>
      <c r="FY208" s="98"/>
      <c r="FZ208" s="98"/>
      <c r="GA208" s="98"/>
      <c r="GB208" s="98"/>
      <c r="GC208" s="98"/>
      <c r="GD208" s="98"/>
      <c r="GE208" s="98"/>
      <c r="GF208" s="98"/>
      <c r="GG208" s="98"/>
      <c r="GH208" s="98"/>
      <c r="GI208" s="98"/>
      <c r="GJ208" s="98"/>
      <c r="GK208" s="98"/>
      <c r="GL208" s="98"/>
    </row>
    <row r="209" spans="1:753" ht="22.5" customHeight="1" x14ac:dyDescent="0.2">
      <c r="B209" s="24">
        <v>336</v>
      </c>
      <c r="C209" s="20" t="s">
        <v>107</v>
      </c>
      <c r="D209" s="28"/>
      <c r="E209" s="29"/>
      <c r="F209" s="48">
        <f>SUM(F210:F211)</f>
        <v>0</v>
      </c>
      <c r="G209" s="32"/>
      <c r="H209" s="48">
        <f>SUM(H210:H211)</f>
        <v>0</v>
      </c>
      <c r="I209" s="37"/>
      <c r="J209" s="48">
        <f>SUM(J210:J211)</f>
        <v>0</v>
      </c>
      <c r="K209" s="37"/>
      <c r="L209" s="48">
        <f>SUM(L210:L211)</f>
        <v>0</v>
      </c>
      <c r="M209" s="37"/>
      <c r="N209" s="48">
        <f>SUM(N210:N211)</f>
        <v>0</v>
      </c>
      <c r="O209" s="37"/>
      <c r="P209" s="48">
        <f>SUM(P210:P211)</f>
        <v>0</v>
      </c>
      <c r="Q209" s="37"/>
      <c r="R209" s="48">
        <f>SUM(R210:R211)</f>
        <v>0</v>
      </c>
      <c r="S209" s="37"/>
      <c r="T209" s="48">
        <f>SUM(T210:T211)</f>
        <v>0</v>
      </c>
      <c r="U209" s="37"/>
      <c r="V209" s="48">
        <f>SUM(V210:V211)</f>
        <v>0</v>
      </c>
      <c r="W209" s="37"/>
      <c r="X209" s="48">
        <f>SUM(X210:X211)</f>
        <v>0</v>
      </c>
      <c r="Y209" s="37"/>
      <c r="Z209" s="48">
        <f>SUM(Z210:Z211)</f>
        <v>0</v>
      </c>
      <c r="AA209" s="37"/>
      <c r="AB209" s="48">
        <f>SUM(AB210:AB211)</f>
        <v>0</v>
      </c>
      <c r="AC209" s="37"/>
      <c r="AD209" s="48">
        <f>SUM(AD210:AD211)</f>
        <v>0</v>
      </c>
      <c r="AE209" s="18"/>
    </row>
    <row r="210" spans="1:753" ht="12" customHeight="1" x14ac:dyDescent="0.2">
      <c r="B210" s="24"/>
      <c r="C210" s="83" t="s">
        <v>108</v>
      </c>
      <c r="D210" s="28"/>
      <c r="E210" s="29"/>
      <c r="F210" s="30"/>
      <c r="G210" s="32"/>
      <c r="H210" s="31"/>
      <c r="I210" s="32"/>
      <c r="J210" s="31"/>
      <c r="K210" s="32"/>
      <c r="L210" s="31"/>
      <c r="M210" s="32"/>
      <c r="N210" s="31"/>
      <c r="O210" s="32"/>
      <c r="P210" s="31"/>
      <c r="Q210" s="32"/>
      <c r="R210" s="31"/>
      <c r="S210" s="31"/>
      <c r="T210" s="31"/>
      <c r="U210" s="32"/>
      <c r="V210" s="31"/>
      <c r="W210" s="32"/>
      <c r="X210" s="31"/>
      <c r="Y210" s="32"/>
      <c r="Z210" s="31"/>
      <c r="AA210" s="32"/>
      <c r="AB210" s="31"/>
      <c r="AC210" s="32"/>
      <c r="AD210" s="31"/>
      <c r="AE210" s="18"/>
    </row>
    <row r="211" spans="1:753" ht="12" customHeight="1" x14ac:dyDescent="0.2">
      <c r="B211" s="24"/>
      <c r="C211" s="83" t="s">
        <v>185</v>
      </c>
      <c r="D211" s="28"/>
      <c r="E211" s="29"/>
      <c r="F211" s="30"/>
      <c r="G211" s="32"/>
      <c r="H211" s="31"/>
      <c r="I211" s="32"/>
      <c r="J211" s="31"/>
      <c r="K211" s="32"/>
      <c r="L211" s="31"/>
      <c r="M211" s="32"/>
      <c r="N211" s="31"/>
      <c r="O211" s="32"/>
      <c r="P211" s="31"/>
      <c r="Q211" s="32"/>
      <c r="R211" s="31"/>
      <c r="S211" s="31"/>
      <c r="T211" s="31"/>
      <c r="U211" s="32"/>
      <c r="V211" s="31"/>
      <c r="W211" s="32"/>
      <c r="X211" s="31"/>
      <c r="Y211" s="32"/>
      <c r="Z211" s="31"/>
      <c r="AA211" s="32"/>
      <c r="AB211" s="31"/>
      <c r="AC211" s="32"/>
      <c r="AD211" s="31"/>
      <c r="AE211" s="18"/>
    </row>
    <row r="212" spans="1:753" ht="23.25" customHeight="1" x14ac:dyDescent="0.2">
      <c r="B212" s="19">
        <v>3400</v>
      </c>
      <c r="C212" s="20" t="s">
        <v>109</v>
      </c>
      <c r="D212" s="34"/>
      <c r="E212" s="19"/>
      <c r="F212" s="41">
        <f>SUM(F213,F215,F217)</f>
        <v>250035.38</v>
      </c>
      <c r="G212" s="39" t="s">
        <v>42</v>
      </c>
      <c r="H212" s="41">
        <f>SUM(H213+H215+H217)</f>
        <v>0</v>
      </c>
      <c r="I212" s="39" t="s">
        <v>42</v>
      </c>
      <c r="J212" s="41">
        <f>SUM(J213+J215+J217)</f>
        <v>0</v>
      </c>
      <c r="K212" s="39"/>
      <c r="L212" s="41">
        <f>SUM(L213+L215+L217)</f>
        <v>0</v>
      </c>
      <c r="M212" s="39"/>
      <c r="N212" s="41">
        <f>SUM(N213+N215+N217)</f>
        <v>250035.38</v>
      </c>
      <c r="O212" s="39"/>
      <c r="P212" s="41">
        <f>SUM(P213+P215+P217)</f>
        <v>0</v>
      </c>
      <c r="Q212" s="39"/>
      <c r="R212" s="41">
        <f>SUM(R213+R215+R217)</f>
        <v>0</v>
      </c>
      <c r="S212" s="39"/>
      <c r="T212" s="41">
        <f>SUM(T213+T215+T217)</f>
        <v>0</v>
      </c>
      <c r="U212" s="39"/>
      <c r="V212" s="41">
        <f>SUM(V213+V215+V217)</f>
        <v>0</v>
      </c>
      <c r="W212" s="39"/>
      <c r="X212" s="41">
        <f>SUM(X213+X215+X217)</f>
        <v>0</v>
      </c>
      <c r="Y212" s="39"/>
      <c r="Z212" s="41">
        <f>SUM(Z213+Z215+Z217)</f>
        <v>0</v>
      </c>
      <c r="AA212" s="39"/>
      <c r="AB212" s="41">
        <f>SUM(AB213+AB215+AB217)</f>
        <v>0</v>
      </c>
      <c r="AC212" s="39"/>
      <c r="AD212" s="41">
        <f>SUM(AD213+AD215+AD217)</f>
        <v>0</v>
      </c>
      <c r="AE212" s="18"/>
    </row>
    <row r="213" spans="1:753" ht="12.75" customHeight="1" x14ac:dyDescent="0.2">
      <c r="B213" s="49">
        <v>341</v>
      </c>
      <c r="C213" s="85" t="s">
        <v>110</v>
      </c>
      <c r="D213" s="28"/>
      <c r="E213" s="51"/>
      <c r="F213" s="25">
        <f>F214</f>
        <v>0</v>
      </c>
      <c r="G213" s="37" t="s">
        <v>42</v>
      </c>
      <c r="H213" s="26">
        <f>H214</f>
        <v>0</v>
      </c>
      <c r="I213" s="37" t="s">
        <v>42</v>
      </c>
      <c r="J213" s="26">
        <f>J214</f>
        <v>0</v>
      </c>
      <c r="K213" s="37"/>
      <c r="L213" s="26">
        <f>L214</f>
        <v>0</v>
      </c>
      <c r="M213" s="37"/>
      <c r="N213" s="26">
        <f>N214</f>
        <v>0</v>
      </c>
      <c r="O213" s="37"/>
      <c r="P213" s="26">
        <f>P214</f>
        <v>0</v>
      </c>
      <c r="Q213" s="37"/>
      <c r="R213" s="26">
        <f>R214</f>
        <v>0</v>
      </c>
      <c r="S213" s="37"/>
      <c r="T213" s="26">
        <f>T214</f>
        <v>0</v>
      </c>
      <c r="U213" s="37"/>
      <c r="V213" s="26">
        <f>V214</f>
        <v>0</v>
      </c>
      <c r="W213" s="37"/>
      <c r="X213" s="26">
        <f>X214</f>
        <v>0</v>
      </c>
      <c r="Y213" s="37"/>
      <c r="Z213" s="26">
        <f>Z214</f>
        <v>0</v>
      </c>
      <c r="AA213" s="37"/>
      <c r="AB213" s="26">
        <f>AB214</f>
        <v>0</v>
      </c>
      <c r="AC213" s="37"/>
      <c r="AD213" s="26">
        <f>AD214</f>
        <v>0</v>
      </c>
      <c r="AE213" s="18"/>
    </row>
    <row r="214" spans="1:753" ht="14.25" customHeight="1" x14ac:dyDescent="0.2">
      <c r="B214" s="55"/>
      <c r="C214" s="86" t="s">
        <v>186</v>
      </c>
      <c r="D214" s="28"/>
      <c r="E214" s="56"/>
      <c r="F214" s="30"/>
      <c r="G214" s="32"/>
      <c r="H214" s="53"/>
      <c r="I214" s="32"/>
      <c r="J214" s="53"/>
      <c r="K214" s="32"/>
      <c r="L214" s="53"/>
      <c r="M214" s="32"/>
      <c r="N214" s="53"/>
      <c r="O214" s="32"/>
      <c r="P214" s="53"/>
      <c r="Q214" s="32"/>
      <c r="R214" s="53"/>
      <c r="S214" s="32"/>
      <c r="T214" s="53"/>
      <c r="U214" s="32"/>
      <c r="V214" s="53"/>
      <c r="W214" s="32"/>
      <c r="X214" s="53"/>
      <c r="Y214" s="32"/>
      <c r="Z214" s="53"/>
      <c r="AA214" s="32"/>
      <c r="AB214" s="53"/>
      <c r="AC214" s="32"/>
      <c r="AD214" s="53"/>
      <c r="AE214" s="18"/>
    </row>
    <row r="215" spans="1:753" ht="13.5" customHeight="1" x14ac:dyDescent="0.2">
      <c r="B215" s="24">
        <v>345</v>
      </c>
      <c r="C215" s="20" t="s">
        <v>111</v>
      </c>
      <c r="D215" s="34"/>
      <c r="E215" s="19"/>
      <c r="F215" s="25">
        <f>F216</f>
        <v>250035.38</v>
      </c>
      <c r="G215" s="39" t="s">
        <v>42</v>
      </c>
      <c r="H215" s="40">
        <f>H216</f>
        <v>0</v>
      </c>
      <c r="I215" s="39" t="s">
        <v>42</v>
      </c>
      <c r="J215" s="40">
        <f>J216</f>
        <v>0</v>
      </c>
      <c r="K215" s="39" t="s">
        <v>42</v>
      </c>
      <c r="L215" s="40">
        <f>L216</f>
        <v>0</v>
      </c>
      <c r="M215" s="39" t="s">
        <v>42</v>
      </c>
      <c r="N215" s="40">
        <f>N216</f>
        <v>250035.38</v>
      </c>
      <c r="O215" s="39" t="s">
        <v>42</v>
      </c>
      <c r="P215" s="40">
        <f>P216</f>
        <v>0</v>
      </c>
      <c r="Q215" s="39" t="s">
        <v>42</v>
      </c>
      <c r="R215" s="40">
        <f>R216</f>
        <v>0</v>
      </c>
      <c r="S215" s="39" t="s">
        <v>42</v>
      </c>
      <c r="T215" s="40">
        <f>T216</f>
        <v>0</v>
      </c>
      <c r="U215" s="39" t="s">
        <v>42</v>
      </c>
      <c r="V215" s="40">
        <f>V216</f>
        <v>0</v>
      </c>
      <c r="W215" s="39" t="s">
        <v>42</v>
      </c>
      <c r="X215" s="40">
        <f>X216</f>
        <v>0</v>
      </c>
      <c r="Y215" s="39" t="s">
        <v>42</v>
      </c>
      <c r="Z215" s="40">
        <f>Z216</f>
        <v>0</v>
      </c>
      <c r="AA215" s="39" t="s">
        <v>42</v>
      </c>
      <c r="AB215" s="40">
        <f>AB216</f>
        <v>0</v>
      </c>
      <c r="AC215" s="39" t="s">
        <v>42</v>
      </c>
      <c r="AD215" s="40">
        <f>AD216</f>
        <v>0</v>
      </c>
      <c r="AE215" s="18"/>
    </row>
    <row r="216" spans="1:753" s="95" customFormat="1" ht="24.75" customHeight="1" x14ac:dyDescent="0.2">
      <c r="A216" s="98"/>
      <c r="B216" s="55"/>
      <c r="C216" s="102" t="s">
        <v>195</v>
      </c>
      <c r="D216" s="123">
        <v>85</v>
      </c>
      <c r="E216" s="124" t="s">
        <v>86</v>
      </c>
      <c r="F216" s="120">
        <f>L216+N216+P216+R216+T216+V216+X216+Z216+AB216+AD216+AF216+AH216</f>
        <v>250035.38</v>
      </c>
      <c r="G216" s="111">
        <v>0</v>
      </c>
      <c r="H216" s="110">
        <v>0</v>
      </c>
      <c r="I216" s="111">
        <v>0</v>
      </c>
      <c r="J216" s="110">
        <v>0</v>
      </c>
      <c r="K216" s="111">
        <v>0</v>
      </c>
      <c r="L216" s="110">
        <v>0</v>
      </c>
      <c r="M216" s="111">
        <v>85</v>
      </c>
      <c r="N216" s="110">
        <v>250035.38</v>
      </c>
      <c r="O216" s="111">
        <v>0</v>
      </c>
      <c r="P216" s="110">
        <v>0</v>
      </c>
      <c r="Q216" s="111">
        <v>0</v>
      </c>
      <c r="R216" s="110">
        <v>0</v>
      </c>
      <c r="S216" s="111">
        <v>0</v>
      </c>
      <c r="T216" s="110">
        <v>0</v>
      </c>
      <c r="U216" s="111">
        <v>0</v>
      </c>
      <c r="V216" s="110">
        <v>0</v>
      </c>
      <c r="W216" s="111">
        <v>0</v>
      </c>
      <c r="X216" s="110">
        <v>0</v>
      </c>
      <c r="Y216" s="111">
        <v>0</v>
      </c>
      <c r="Z216" s="110">
        <v>0</v>
      </c>
      <c r="AA216" s="111">
        <v>0</v>
      </c>
      <c r="AB216" s="110">
        <v>0</v>
      </c>
      <c r="AC216" s="111">
        <v>0</v>
      </c>
      <c r="AD216" s="110">
        <v>0</v>
      </c>
      <c r="AE216" s="130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  <c r="DG216" s="98"/>
      <c r="DH216" s="98"/>
      <c r="DI216" s="98"/>
      <c r="DJ216" s="98"/>
      <c r="DK216" s="98"/>
      <c r="DL216" s="98"/>
      <c r="DM216" s="98"/>
      <c r="DN216" s="98"/>
      <c r="DO216" s="98"/>
      <c r="DP216" s="98"/>
      <c r="DQ216" s="98"/>
      <c r="DR216" s="98"/>
      <c r="DS216" s="98"/>
      <c r="DT216" s="98"/>
      <c r="DU216" s="98"/>
      <c r="DV216" s="98"/>
      <c r="DW216" s="98"/>
      <c r="DX216" s="98"/>
      <c r="DY216" s="98"/>
      <c r="DZ216" s="98"/>
      <c r="EA216" s="98"/>
      <c r="EB216" s="98"/>
      <c r="EC216" s="98"/>
      <c r="ED216" s="98"/>
      <c r="EE216" s="98"/>
      <c r="EF216" s="98"/>
      <c r="EG216" s="98"/>
      <c r="EH216" s="98"/>
      <c r="EI216" s="98"/>
      <c r="EJ216" s="98"/>
      <c r="EK216" s="98"/>
      <c r="EL216" s="98"/>
      <c r="EM216" s="98"/>
      <c r="EN216" s="98"/>
      <c r="EO216" s="98"/>
      <c r="EP216" s="98"/>
      <c r="EQ216" s="98"/>
      <c r="ER216" s="98"/>
      <c r="ES216" s="98"/>
      <c r="ET216" s="98"/>
      <c r="EU216" s="98"/>
      <c r="EV216" s="98"/>
      <c r="EW216" s="98"/>
      <c r="EX216" s="98"/>
      <c r="EY216" s="98"/>
      <c r="EZ216" s="98"/>
      <c r="FA216" s="98"/>
      <c r="FB216" s="98"/>
      <c r="FC216" s="98"/>
      <c r="FD216" s="98"/>
      <c r="FE216" s="98"/>
      <c r="FF216" s="98"/>
      <c r="FG216" s="98"/>
      <c r="FH216" s="98"/>
      <c r="FI216" s="98"/>
      <c r="FJ216" s="98"/>
      <c r="FK216" s="98"/>
      <c r="FL216" s="98"/>
      <c r="FM216" s="98"/>
      <c r="FN216" s="98"/>
      <c r="FO216" s="98"/>
      <c r="FP216" s="98"/>
      <c r="FQ216" s="98"/>
      <c r="FR216" s="98"/>
      <c r="FS216" s="98"/>
      <c r="FT216" s="98"/>
      <c r="FU216" s="98"/>
      <c r="FV216" s="98"/>
      <c r="FW216" s="98"/>
      <c r="FX216" s="98"/>
      <c r="FY216" s="98"/>
      <c r="FZ216" s="98"/>
      <c r="GA216" s="98"/>
      <c r="GB216" s="98"/>
      <c r="GC216" s="98"/>
      <c r="GD216" s="98"/>
      <c r="GE216" s="98"/>
      <c r="GF216" s="98"/>
      <c r="GG216" s="98"/>
      <c r="GH216" s="98"/>
      <c r="GI216" s="98"/>
      <c r="GJ216" s="98"/>
      <c r="GK216" s="98"/>
      <c r="GL216" s="98"/>
      <c r="GM216" s="98"/>
      <c r="GN216" s="98"/>
      <c r="GO216" s="98"/>
      <c r="GP216" s="98"/>
      <c r="GQ216" s="98"/>
      <c r="GR216" s="98"/>
      <c r="GS216" s="98"/>
      <c r="GT216" s="98"/>
      <c r="GU216" s="98"/>
      <c r="GV216" s="98"/>
      <c r="GW216" s="98"/>
      <c r="GX216" s="98"/>
      <c r="GY216" s="98"/>
      <c r="GZ216" s="98"/>
      <c r="HA216" s="98"/>
      <c r="HB216" s="98"/>
      <c r="HC216" s="98"/>
      <c r="HD216" s="98"/>
      <c r="HE216" s="98"/>
      <c r="HF216" s="98"/>
      <c r="HG216" s="98"/>
      <c r="HH216" s="98"/>
      <c r="HI216" s="98"/>
      <c r="HJ216" s="98"/>
      <c r="HK216" s="98"/>
      <c r="HL216" s="98"/>
      <c r="HM216" s="98"/>
      <c r="HN216" s="98"/>
      <c r="HO216" s="98"/>
      <c r="HP216" s="98"/>
      <c r="HQ216" s="98"/>
      <c r="HR216" s="98"/>
      <c r="HS216" s="98"/>
      <c r="HT216" s="98"/>
      <c r="HU216" s="98"/>
      <c r="HV216" s="98"/>
      <c r="HW216" s="98"/>
      <c r="HX216" s="98"/>
      <c r="HY216" s="98"/>
      <c r="HZ216" s="98"/>
      <c r="IA216" s="98"/>
      <c r="IB216" s="98"/>
      <c r="IC216" s="98"/>
      <c r="ID216" s="98"/>
      <c r="IE216" s="98"/>
      <c r="IF216" s="98"/>
      <c r="IG216" s="98"/>
      <c r="IH216" s="98"/>
      <c r="II216" s="98"/>
      <c r="IJ216" s="98"/>
      <c r="IK216" s="98"/>
      <c r="IL216" s="98"/>
      <c r="IM216" s="98"/>
      <c r="IN216" s="98"/>
      <c r="IO216" s="98"/>
      <c r="IP216" s="98"/>
      <c r="IQ216" s="98"/>
      <c r="IR216" s="98"/>
      <c r="IS216" s="98"/>
      <c r="IT216" s="98"/>
      <c r="IU216" s="98"/>
      <c r="IV216" s="98"/>
      <c r="IW216" s="98"/>
      <c r="IX216" s="98"/>
      <c r="IY216" s="98"/>
      <c r="IZ216" s="98"/>
      <c r="JA216" s="98"/>
      <c r="JB216" s="98"/>
      <c r="JC216" s="98"/>
      <c r="JD216" s="98"/>
      <c r="JE216" s="98"/>
      <c r="JF216" s="98"/>
      <c r="JG216" s="98"/>
      <c r="JH216" s="98"/>
      <c r="JI216" s="98"/>
      <c r="JJ216" s="98"/>
      <c r="JK216" s="98"/>
      <c r="JL216" s="98"/>
      <c r="JM216" s="98"/>
      <c r="JN216" s="98"/>
      <c r="JO216" s="98"/>
      <c r="JP216" s="98"/>
      <c r="JQ216" s="98"/>
      <c r="JR216" s="98"/>
      <c r="JS216" s="98"/>
      <c r="JT216" s="98"/>
      <c r="JU216" s="98"/>
      <c r="JV216" s="98"/>
      <c r="JW216" s="98"/>
      <c r="JX216" s="98"/>
      <c r="JY216" s="98"/>
      <c r="JZ216" s="98"/>
      <c r="KA216" s="98"/>
      <c r="KB216" s="98"/>
      <c r="KC216" s="98"/>
      <c r="KD216" s="98"/>
      <c r="KE216" s="98"/>
      <c r="KF216" s="98"/>
      <c r="KG216" s="98"/>
      <c r="KH216" s="98"/>
      <c r="KI216" s="98"/>
      <c r="KJ216" s="98"/>
      <c r="KK216" s="98"/>
      <c r="KL216" s="98"/>
      <c r="KM216" s="98"/>
      <c r="KN216" s="98"/>
      <c r="KO216" s="98"/>
      <c r="KP216" s="98"/>
      <c r="KQ216" s="98"/>
      <c r="KR216" s="98"/>
      <c r="KS216" s="98"/>
      <c r="KT216" s="98"/>
      <c r="KU216" s="98"/>
      <c r="KV216" s="98"/>
      <c r="KW216" s="98"/>
      <c r="KX216" s="98"/>
      <c r="KY216" s="98"/>
      <c r="KZ216" s="98"/>
      <c r="LA216" s="98"/>
      <c r="LB216" s="98"/>
      <c r="LC216" s="98"/>
      <c r="LD216" s="98"/>
      <c r="LE216" s="98"/>
      <c r="LF216" s="98"/>
      <c r="LG216" s="98"/>
      <c r="LH216" s="98"/>
      <c r="LI216" s="98"/>
      <c r="LJ216" s="98"/>
      <c r="LK216" s="98"/>
      <c r="LL216" s="98"/>
      <c r="LM216" s="98"/>
      <c r="LN216" s="98"/>
      <c r="LO216" s="98"/>
      <c r="LP216" s="98"/>
      <c r="LQ216" s="98"/>
      <c r="LR216" s="98"/>
      <c r="LS216" s="98"/>
      <c r="LT216" s="98"/>
      <c r="LU216" s="98"/>
      <c r="LV216" s="98"/>
      <c r="LW216" s="98"/>
      <c r="LX216" s="98"/>
      <c r="LY216" s="98"/>
      <c r="LZ216" s="98"/>
      <c r="MA216" s="98"/>
      <c r="MB216" s="98"/>
      <c r="MC216" s="98"/>
      <c r="MD216" s="98"/>
      <c r="ME216" s="98"/>
      <c r="MF216" s="98"/>
      <c r="MG216" s="98"/>
      <c r="MH216" s="98"/>
      <c r="MI216" s="98"/>
      <c r="MJ216" s="98"/>
      <c r="MK216" s="98"/>
      <c r="ML216" s="98"/>
      <c r="MM216" s="98"/>
      <c r="MN216" s="98"/>
      <c r="MO216" s="98"/>
      <c r="MP216" s="98"/>
      <c r="MQ216" s="98"/>
      <c r="MR216" s="98"/>
      <c r="MS216" s="98"/>
      <c r="MT216" s="98"/>
      <c r="MU216" s="98"/>
      <c r="MV216" s="98"/>
      <c r="MW216" s="98"/>
      <c r="MX216" s="98"/>
      <c r="MY216" s="98"/>
      <c r="MZ216" s="98"/>
      <c r="NA216" s="98"/>
      <c r="NB216" s="98"/>
      <c r="NC216" s="98"/>
      <c r="ND216" s="98"/>
      <c r="NE216" s="98"/>
      <c r="NF216" s="98"/>
      <c r="NG216" s="98"/>
      <c r="NH216" s="98"/>
      <c r="NI216" s="98"/>
      <c r="NJ216" s="98"/>
      <c r="NK216" s="98"/>
      <c r="NL216" s="98"/>
      <c r="NM216" s="98"/>
      <c r="NN216" s="98"/>
      <c r="NO216" s="98"/>
      <c r="NP216" s="98"/>
      <c r="NQ216" s="98"/>
      <c r="NR216" s="98"/>
      <c r="NS216" s="98"/>
      <c r="NT216" s="98"/>
      <c r="NU216" s="98"/>
      <c r="NV216" s="98"/>
      <c r="NW216" s="98"/>
      <c r="NX216" s="98"/>
      <c r="NY216" s="98"/>
      <c r="NZ216" s="98"/>
      <c r="OA216" s="98"/>
      <c r="OB216" s="98"/>
      <c r="OC216" s="98"/>
      <c r="OD216" s="98"/>
      <c r="OE216" s="98"/>
      <c r="OF216" s="98"/>
      <c r="OG216" s="98"/>
      <c r="OH216" s="98"/>
      <c r="OI216" s="98"/>
      <c r="OJ216" s="98"/>
      <c r="OK216" s="98"/>
      <c r="OL216" s="98"/>
      <c r="OM216" s="98"/>
      <c r="ON216" s="98"/>
      <c r="OO216" s="98"/>
      <c r="OP216" s="98"/>
      <c r="OQ216" s="98"/>
      <c r="OR216" s="98"/>
      <c r="OS216" s="98"/>
      <c r="OT216" s="98"/>
      <c r="OU216" s="98"/>
      <c r="OV216" s="98"/>
      <c r="OW216" s="98"/>
      <c r="OX216" s="98"/>
      <c r="OY216" s="98"/>
      <c r="OZ216" s="98"/>
      <c r="PA216" s="98"/>
      <c r="PB216" s="98"/>
      <c r="PC216" s="98"/>
      <c r="PD216" s="98"/>
      <c r="PE216" s="98"/>
      <c r="PF216" s="98"/>
      <c r="PG216" s="98"/>
      <c r="PH216" s="98"/>
      <c r="PI216" s="98"/>
      <c r="PJ216" s="98"/>
      <c r="PK216" s="98"/>
      <c r="PL216" s="98"/>
      <c r="PM216" s="98"/>
      <c r="PN216" s="98"/>
      <c r="PO216" s="98"/>
      <c r="PP216" s="98"/>
      <c r="PQ216" s="98"/>
      <c r="PR216" s="98"/>
      <c r="PS216" s="98"/>
      <c r="PT216" s="98"/>
      <c r="PU216" s="98"/>
      <c r="PV216" s="98"/>
      <c r="PW216" s="98"/>
      <c r="PX216" s="98"/>
      <c r="PY216" s="98"/>
      <c r="PZ216" s="98"/>
      <c r="QA216" s="98"/>
      <c r="QB216" s="98"/>
      <c r="QC216" s="98"/>
      <c r="QD216" s="98"/>
      <c r="QE216" s="98"/>
      <c r="QF216" s="98"/>
      <c r="QG216" s="98"/>
      <c r="QH216" s="98"/>
      <c r="QI216" s="98"/>
      <c r="QJ216" s="98"/>
      <c r="QK216" s="98"/>
      <c r="QL216" s="98"/>
      <c r="QM216" s="98"/>
      <c r="QN216" s="98"/>
      <c r="QO216" s="98"/>
      <c r="QP216" s="98"/>
      <c r="QQ216" s="98"/>
      <c r="QR216" s="98"/>
      <c r="QS216" s="98"/>
      <c r="QT216" s="98"/>
      <c r="QU216" s="98"/>
      <c r="QV216" s="98"/>
      <c r="QW216" s="98"/>
      <c r="QX216" s="98"/>
      <c r="QY216" s="98"/>
      <c r="QZ216" s="98"/>
      <c r="RA216" s="98"/>
      <c r="RB216" s="98"/>
      <c r="RC216" s="98"/>
      <c r="RD216" s="98"/>
      <c r="RE216" s="98"/>
      <c r="RF216" s="98"/>
      <c r="RG216" s="98"/>
      <c r="RH216" s="98"/>
      <c r="RI216" s="98"/>
      <c r="RJ216" s="98"/>
      <c r="RK216" s="98"/>
      <c r="RL216" s="98"/>
      <c r="RM216" s="98"/>
      <c r="RN216" s="98"/>
      <c r="RO216" s="98"/>
      <c r="RP216" s="98"/>
      <c r="RQ216" s="98"/>
      <c r="RR216" s="98"/>
      <c r="RS216" s="98"/>
      <c r="RT216" s="98"/>
      <c r="RU216" s="98"/>
      <c r="RV216" s="98"/>
      <c r="RW216" s="98"/>
      <c r="RX216" s="98"/>
      <c r="RY216" s="98"/>
      <c r="RZ216" s="98"/>
      <c r="SA216" s="98"/>
      <c r="SB216" s="98"/>
      <c r="SC216" s="98"/>
      <c r="SD216" s="98"/>
      <c r="SE216" s="98"/>
      <c r="SF216" s="98"/>
      <c r="SG216" s="98"/>
      <c r="SH216" s="98"/>
      <c r="SI216" s="98"/>
      <c r="SJ216" s="98"/>
      <c r="SK216" s="98"/>
      <c r="SL216" s="98"/>
      <c r="SM216" s="98"/>
      <c r="SN216" s="98"/>
      <c r="SO216" s="98"/>
      <c r="SP216" s="98"/>
      <c r="SQ216" s="98"/>
      <c r="SR216" s="98"/>
      <c r="SS216" s="98"/>
      <c r="ST216" s="98"/>
      <c r="SU216" s="98"/>
      <c r="SV216" s="98"/>
      <c r="SW216" s="98"/>
      <c r="SX216" s="98"/>
      <c r="SY216" s="98"/>
      <c r="SZ216" s="98"/>
      <c r="TA216" s="98"/>
      <c r="TB216" s="98"/>
      <c r="TC216" s="98"/>
      <c r="TD216" s="98"/>
      <c r="TE216" s="98"/>
      <c r="TF216" s="98"/>
      <c r="TG216" s="98"/>
      <c r="TH216" s="98"/>
      <c r="TI216" s="98"/>
      <c r="TJ216" s="98"/>
      <c r="TK216" s="98"/>
      <c r="TL216" s="98"/>
      <c r="TM216" s="98"/>
      <c r="TN216" s="98"/>
      <c r="TO216" s="98"/>
      <c r="TP216" s="98"/>
      <c r="TQ216" s="98"/>
      <c r="TR216" s="98"/>
      <c r="TS216" s="98"/>
      <c r="TT216" s="98"/>
      <c r="TU216" s="98"/>
      <c r="TV216" s="98"/>
      <c r="TW216" s="98"/>
      <c r="TX216" s="98"/>
      <c r="TY216" s="98"/>
      <c r="TZ216" s="98"/>
      <c r="UA216" s="98"/>
      <c r="UB216" s="98"/>
      <c r="UC216" s="98"/>
      <c r="UD216" s="98"/>
      <c r="UE216" s="98"/>
      <c r="UF216" s="98"/>
      <c r="UG216" s="98"/>
      <c r="UH216" s="98"/>
      <c r="UI216" s="98"/>
      <c r="UJ216" s="98"/>
      <c r="UK216" s="98"/>
      <c r="UL216" s="98"/>
      <c r="UM216" s="98"/>
      <c r="UN216" s="98"/>
      <c r="UO216" s="98"/>
      <c r="UP216" s="98"/>
      <c r="UQ216" s="98"/>
      <c r="UR216" s="98"/>
      <c r="US216" s="98"/>
      <c r="UT216" s="98"/>
      <c r="UU216" s="98"/>
      <c r="UV216" s="98"/>
      <c r="UW216" s="98"/>
      <c r="UX216" s="98"/>
      <c r="UY216" s="98"/>
      <c r="UZ216" s="98"/>
      <c r="VA216" s="98"/>
      <c r="VB216" s="98"/>
      <c r="VC216" s="98"/>
      <c r="VD216" s="98"/>
      <c r="VE216" s="98"/>
      <c r="VF216" s="98"/>
      <c r="VG216" s="98"/>
      <c r="VH216" s="98"/>
      <c r="VI216" s="98"/>
      <c r="VJ216" s="98"/>
      <c r="VK216" s="98"/>
      <c r="VL216" s="98"/>
      <c r="VM216" s="98"/>
      <c r="VN216" s="98"/>
      <c r="VO216" s="98"/>
      <c r="VP216" s="98"/>
      <c r="VQ216" s="98"/>
      <c r="VR216" s="98"/>
      <c r="VS216" s="98"/>
      <c r="VT216" s="98"/>
      <c r="VU216" s="98"/>
      <c r="VV216" s="98"/>
      <c r="VW216" s="98"/>
      <c r="VX216" s="98"/>
      <c r="VY216" s="98"/>
      <c r="VZ216" s="98"/>
      <c r="WA216" s="98"/>
      <c r="WB216" s="98"/>
      <c r="WC216" s="98"/>
      <c r="WD216" s="98"/>
      <c r="WE216" s="98"/>
      <c r="WF216" s="98"/>
      <c r="WG216" s="98"/>
      <c r="WH216" s="98"/>
      <c r="WI216" s="98"/>
      <c r="WJ216" s="98"/>
      <c r="WK216" s="98"/>
      <c r="WL216" s="98"/>
      <c r="WM216" s="98"/>
      <c r="WN216" s="98"/>
      <c r="WO216" s="98"/>
      <c r="WP216" s="98"/>
      <c r="WQ216" s="98"/>
      <c r="WR216" s="98"/>
      <c r="WS216" s="98"/>
      <c r="WT216" s="98"/>
      <c r="WU216" s="98"/>
      <c r="WV216" s="98"/>
      <c r="WW216" s="98"/>
      <c r="WX216" s="98"/>
      <c r="WY216" s="98"/>
      <c r="WZ216" s="98"/>
      <c r="XA216" s="98"/>
      <c r="XB216" s="98"/>
      <c r="XC216" s="98"/>
      <c r="XD216" s="98"/>
      <c r="XE216" s="98"/>
      <c r="XF216" s="98"/>
      <c r="XG216" s="98"/>
      <c r="XH216" s="98"/>
      <c r="XI216" s="98"/>
      <c r="XJ216" s="98"/>
      <c r="XK216" s="98"/>
      <c r="XL216" s="98"/>
      <c r="XM216" s="98"/>
      <c r="XN216" s="98"/>
      <c r="XO216" s="98"/>
      <c r="XP216" s="98"/>
      <c r="XQ216" s="98"/>
      <c r="XR216" s="98"/>
      <c r="XS216" s="98"/>
      <c r="XT216" s="98"/>
      <c r="XU216" s="98"/>
      <c r="XV216" s="98"/>
      <c r="XW216" s="98"/>
      <c r="XX216" s="98"/>
      <c r="XY216" s="98"/>
      <c r="XZ216" s="98"/>
      <c r="YA216" s="98"/>
      <c r="YB216" s="98"/>
      <c r="YC216" s="98"/>
      <c r="YD216" s="98"/>
      <c r="YE216" s="98"/>
      <c r="YF216" s="98"/>
      <c r="YG216" s="98"/>
      <c r="YH216" s="98"/>
      <c r="YI216" s="98"/>
      <c r="YJ216" s="98"/>
      <c r="YK216" s="98"/>
      <c r="YL216" s="98"/>
      <c r="YM216" s="98"/>
      <c r="YN216" s="98"/>
      <c r="YO216" s="98"/>
      <c r="YP216" s="98"/>
      <c r="YQ216" s="98"/>
      <c r="YR216" s="98"/>
      <c r="YS216" s="98"/>
      <c r="YT216" s="98"/>
      <c r="YU216" s="98"/>
      <c r="YV216" s="98"/>
      <c r="YW216" s="98"/>
      <c r="YX216" s="98"/>
      <c r="YY216" s="98"/>
      <c r="YZ216" s="98"/>
      <c r="ZA216" s="98"/>
      <c r="ZB216" s="98"/>
      <c r="ZC216" s="98"/>
      <c r="ZD216" s="98"/>
      <c r="ZE216" s="98"/>
      <c r="ZF216" s="98"/>
      <c r="ZG216" s="98"/>
      <c r="ZH216" s="98"/>
      <c r="ZI216" s="98"/>
      <c r="ZJ216" s="98"/>
      <c r="ZK216" s="98"/>
      <c r="ZL216" s="98"/>
      <c r="ZM216" s="98"/>
      <c r="ZN216" s="98"/>
      <c r="ZO216" s="98"/>
      <c r="ZP216" s="98"/>
      <c r="ZQ216" s="98"/>
      <c r="ZR216" s="98"/>
      <c r="ZS216" s="98"/>
      <c r="ZT216" s="98"/>
      <c r="ZU216" s="98"/>
      <c r="ZV216" s="98"/>
      <c r="ZW216" s="98"/>
      <c r="ZX216" s="98"/>
      <c r="ZY216" s="98"/>
      <c r="ZZ216" s="98"/>
      <c r="AAA216" s="98"/>
      <c r="AAB216" s="98"/>
      <c r="AAC216" s="98"/>
      <c r="AAD216" s="98"/>
      <c r="AAE216" s="98"/>
      <c r="AAF216" s="98"/>
      <c r="AAG216" s="98"/>
      <c r="AAH216" s="98"/>
      <c r="AAI216" s="98"/>
      <c r="AAJ216" s="98"/>
      <c r="AAK216" s="98"/>
      <c r="AAL216" s="98"/>
      <c r="AAM216" s="98"/>
      <c r="AAN216" s="98"/>
      <c r="AAO216" s="98"/>
      <c r="AAP216" s="98"/>
      <c r="AAQ216" s="98"/>
      <c r="AAR216" s="98"/>
      <c r="AAS216" s="98"/>
      <c r="AAT216" s="98"/>
      <c r="AAU216" s="98"/>
      <c r="AAV216" s="98"/>
      <c r="AAW216" s="98"/>
      <c r="AAX216" s="98"/>
      <c r="AAY216" s="98"/>
      <c r="AAZ216" s="98"/>
      <c r="ABA216" s="98"/>
      <c r="ABB216" s="98"/>
      <c r="ABC216" s="98"/>
      <c r="ABD216" s="98"/>
      <c r="ABE216" s="98"/>
      <c r="ABF216" s="98"/>
      <c r="ABG216" s="98"/>
      <c r="ABH216" s="98"/>
      <c r="ABI216" s="98"/>
      <c r="ABJ216" s="98"/>
      <c r="ABK216" s="98"/>
      <c r="ABL216" s="98"/>
      <c r="ABM216" s="98"/>
      <c r="ABN216" s="98"/>
      <c r="ABO216" s="98"/>
      <c r="ABP216" s="98"/>
      <c r="ABQ216" s="98"/>
      <c r="ABR216" s="98"/>
      <c r="ABS216" s="98"/>
      <c r="ABT216" s="98"/>
      <c r="ABU216" s="98"/>
      <c r="ABV216" s="98"/>
      <c r="ABW216" s="98"/>
      <c r="ABX216" s="98"/>
      <c r="ABY216" s="98"/>
    </row>
    <row r="217" spans="1:753" ht="15" customHeight="1" x14ac:dyDescent="0.2">
      <c r="B217" s="24">
        <v>347</v>
      </c>
      <c r="C217" s="20" t="s">
        <v>112</v>
      </c>
      <c r="D217" s="28"/>
      <c r="E217" s="19"/>
      <c r="F217" s="25">
        <f>SUM(F218:F218)</f>
        <v>0</v>
      </c>
      <c r="G217" s="37" t="s">
        <v>42</v>
      </c>
      <c r="H217" s="25">
        <f>SUM(H218:H218)</f>
        <v>0</v>
      </c>
      <c r="I217" s="37" t="s">
        <v>42</v>
      </c>
      <c r="J217" s="25">
        <f>SUM(J218:J218)</f>
        <v>0</v>
      </c>
      <c r="K217" s="37" t="s">
        <v>42</v>
      </c>
      <c r="L217" s="25">
        <f>SUM(L218:L218)</f>
        <v>0</v>
      </c>
      <c r="M217" s="37" t="s">
        <v>42</v>
      </c>
      <c r="N217" s="25">
        <f>SUM(N218:N218)</f>
        <v>0</v>
      </c>
      <c r="O217" s="37" t="s">
        <v>42</v>
      </c>
      <c r="P217" s="25">
        <f>SUM(P218:P218)</f>
        <v>0</v>
      </c>
      <c r="Q217" s="37" t="s">
        <v>42</v>
      </c>
      <c r="R217" s="25">
        <f>SUM(R218:R218)</f>
        <v>0</v>
      </c>
      <c r="S217" s="37" t="s">
        <v>42</v>
      </c>
      <c r="T217" s="25">
        <f>SUM(T218:T218)</f>
        <v>0</v>
      </c>
      <c r="U217" s="37"/>
      <c r="V217" s="25">
        <f>SUM(V218:V218)</f>
        <v>0</v>
      </c>
      <c r="W217" s="37" t="s">
        <v>42</v>
      </c>
      <c r="X217" s="25">
        <f>SUM(X218:X218)</f>
        <v>0</v>
      </c>
      <c r="Y217" s="25"/>
      <c r="Z217" s="25">
        <f>SUM(Z218:Z218)</f>
        <v>0</v>
      </c>
      <c r="AA217" s="37" t="s">
        <v>42</v>
      </c>
      <c r="AB217" s="25">
        <f>SUM(AB218:AB218)</f>
        <v>0</v>
      </c>
      <c r="AC217" s="37" t="s">
        <v>42</v>
      </c>
      <c r="AD217" s="25">
        <f>SUM(AD218:AD218)</f>
        <v>0</v>
      </c>
      <c r="AE217" s="18"/>
    </row>
    <row r="218" spans="1:753" ht="12.75" customHeight="1" x14ac:dyDescent="0.2">
      <c r="B218" s="24"/>
      <c r="C218" s="83"/>
      <c r="D218" s="28"/>
      <c r="E218" s="33"/>
      <c r="F218" s="35"/>
      <c r="G218" s="42"/>
      <c r="H218" s="36"/>
      <c r="I218" s="42"/>
      <c r="J218" s="36"/>
      <c r="K218" s="42"/>
      <c r="L218" s="36"/>
      <c r="M218" s="42"/>
      <c r="N218" s="36"/>
      <c r="O218" s="42"/>
      <c r="P218" s="36"/>
      <c r="Q218" s="42"/>
      <c r="R218" s="36"/>
      <c r="S218" s="42"/>
      <c r="T218" s="36"/>
      <c r="U218" s="42"/>
      <c r="V218" s="36"/>
      <c r="W218" s="42"/>
      <c r="X218" s="36"/>
      <c r="Y218" s="42"/>
      <c r="Z218" s="36"/>
      <c r="AA218" s="42"/>
      <c r="AB218" s="36"/>
      <c r="AC218" s="42"/>
      <c r="AD218" s="36"/>
      <c r="AE218" s="18"/>
    </row>
    <row r="219" spans="1:753" ht="25.5" customHeight="1" x14ac:dyDescent="0.2">
      <c r="B219" s="14">
        <v>3500</v>
      </c>
      <c r="C219" s="13" t="s">
        <v>113</v>
      </c>
      <c r="D219" s="28"/>
      <c r="E219" s="16"/>
      <c r="F219" s="17"/>
      <c r="G219" s="39"/>
      <c r="H219" s="17"/>
      <c r="I219" s="39"/>
      <c r="J219" s="17"/>
      <c r="K219" s="39"/>
      <c r="L219" s="17"/>
      <c r="M219" s="39"/>
      <c r="N219" s="17"/>
      <c r="O219" s="39"/>
      <c r="P219" s="17"/>
      <c r="Q219" s="39"/>
      <c r="R219" s="17"/>
      <c r="S219" s="39"/>
      <c r="T219" s="17"/>
      <c r="U219" s="39"/>
      <c r="V219" s="17"/>
      <c r="W219" s="39"/>
      <c r="X219" s="17"/>
      <c r="Y219" s="39"/>
      <c r="Z219" s="17"/>
      <c r="AA219" s="39"/>
      <c r="AB219" s="17"/>
      <c r="AC219" s="39"/>
      <c r="AD219" s="17"/>
      <c r="AE219" s="18"/>
    </row>
    <row r="220" spans="1:753" ht="24.75" customHeight="1" x14ac:dyDescent="0.2">
      <c r="B220" s="24">
        <v>351</v>
      </c>
      <c r="C220" s="20" t="s">
        <v>114</v>
      </c>
      <c r="D220" s="34"/>
      <c r="E220" s="19"/>
      <c r="F220" s="25"/>
      <c r="G220" s="39"/>
      <c r="H220" s="40"/>
      <c r="I220" s="39"/>
      <c r="J220" s="40"/>
      <c r="K220" s="39"/>
      <c r="L220" s="40"/>
      <c r="M220" s="39"/>
      <c r="N220" s="40"/>
      <c r="O220" s="39"/>
      <c r="P220" s="40"/>
      <c r="Q220" s="39"/>
      <c r="R220" s="40"/>
      <c r="S220" s="39"/>
      <c r="T220" s="40"/>
      <c r="U220" s="39"/>
      <c r="V220" s="40"/>
      <c r="W220" s="39"/>
      <c r="X220" s="40"/>
      <c r="Y220" s="39"/>
      <c r="Z220" s="40"/>
      <c r="AA220" s="39"/>
      <c r="AB220" s="40"/>
      <c r="AC220" s="39"/>
      <c r="AD220" s="40"/>
      <c r="AE220" s="18"/>
    </row>
    <row r="221" spans="1:753" ht="23.25" customHeight="1" x14ac:dyDescent="0.2">
      <c r="B221" s="24"/>
      <c r="C221" s="88" t="s">
        <v>115</v>
      </c>
      <c r="D221" s="34"/>
      <c r="E221" s="33"/>
      <c r="F221" s="35"/>
      <c r="G221" s="42"/>
      <c r="H221" s="54"/>
      <c r="I221" s="42"/>
      <c r="J221" s="36"/>
      <c r="K221" s="42"/>
      <c r="L221" s="36"/>
      <c r="M221" s="42"/>
      <c r="N221" s="36"/>
      <c r="O221" s="42"/>
      <c r="P221" s="36"/>
      <c r="Q221" s="42"/>
      <c r="R221" s="36"/>
      <c r="S221" s="42"/>
      <c r="T221" s="36"/>
      <c r="U221" s="42"/>
      <c r="V221" s="36"/>
      <c r="W221" s="42"/>
      <c r="X221" s="36"/>
      <c r="Y221" s="42"/>
      <c r="Z221" s="36"/>
      <c r="AA221" s="42"/>
      <c r="AB221" s="36"/>
      <c r="AC221" s="42"/>
      <c r="AD221" s="36"/>
      <c r="AE221" s="18"/>
    </row>
    <row r="222" spans="1:753" ht="35.25" customHeight="1" x14ac:dyDescent="0.2">
      <c r="B222" s="24">
        <v>352</v>
      </c>
      <c r="C222" s="20" t="s">
        <v>116</v>
      </c>
      <c r="D222" s="34"/>
      <c r="E222" s="19"/>
      <c r="F222" s="25"/>
      <c r="G222" s="39"/>
      <c r="H222" s="25"/>
      <c r="I222" s="39"/>
      <c r="J222" s="25"/>
      <c r="K222" s="39"/>
      <c r="L222" s="25"/>
      <c r="M222" s="39"/>
      <c r="N222" s="25"/>
      <c r="O222" s="39"/>
      <c r="P222" s="25"/>
      <c r="Q222" s="39"/>
      <c r="R222" s="25"/>
      <c r="S222" s="39"/>
      <c r="T222" s="25"/>
      <c r="U222" s="39"/>
      <c r="V222" s="25"/>
      <c r="W222" s="39"/>
      <c r="X222" s="25"/>
      <c r="Y222" s="39"/>
      <c r="Z222" s="25"/>
      <c r="AA222" s="39"/>
      <c r="AB222" s="25"/>
      <c r="AC222" s="39"/>
      <c r="AD222" s="25"/>
      <c r="AE222" s="18"/>
    </row>
    <row r="223" spans="1:753" ht="22.5" customHeight="1" x14ac:dyDescent="0.2">
      <c r="B223" s="24"/>
      <c r="C223" s="83" t="s">
        <v>117</v>
      </c>
      <c r="D223" s="34"/>
      <c r="E223" s="33"/>
      <c r="F223" s="35"/>
      <c r="G223" s="42"/>
      <c r="H223" s="36"/>
      <c r="I223" s="42"/>
      <c r="J223" s="36"/>
      <c r="K223" s="42"/>
      <c r="L223" s="36"/>
      <c r="M223" s="42"/>
      <c r="N223" s="36"/>
      <c r="O223" s="42"/>
      <c r="P223" s="36"/>
      <c r="Q223" s="42"/>
      <c r="R223" s="36"/>
      <c r="S223" s="42"/>
      <c r="T223" s="36"/>
      <c r="U223" s="42"/>
      <c r="V223" s="36"/>
      <c r="W223" s="42"/>
      <c r="X223" s="36"/>
      <c r="Y223" s="42"/>
      <c r="Z223" s="36"/>
      <c r="AA223" s="42"/>
      <c r="AB223" s="36"/>
      <c r="AC223" s="42"/>
      <c r="AD223" s="36"/>
      <c r="AE223" s="18"/>
    </row>
    <row r="224" spans="1:753" ht="39" customHeight="1" x14ac:dyDescent="0.2">
      <c r="B224" s="24">
        <v>353</v>
      </c>
      <c r="C224" s="20" t="s">
        <v>118</v>
      </c>
      <c r="D224" s="34"/>
      <c r="E224" s="19"/>
      <c r="F224" s="25"/>
      <c r="G224" s="39"/>
      <c r="H224" s="40"/>
      <c r="I224" s="39"/>
      <c r="J224" s="40"/>
      <c r="K224" s="39"/>
      <c r="L224" s="40"/>
      <c r="M224" s="39"/>
      <c r="N224" s="40"/>
      <c r="O224" s="39"/>
      <c r="P224" s="40"/>
      <c r="Q224" s="39"/>
      <c r="R224" s="40"/>
      <c r="S224" s="39"/>
      <c r="T224" s="40"/>
      <c r="U224" s="39"/>
      <c r="V224" s="40"/>
      <c r="W224" s="39"/>
      <c r="X224" s="40"/>
      <c r="Y224" s="39"/>
      <c r="Z224" s="40"/>
      <c r="AA224" s="39"/>
      <c r="AB224" s="40"/>
      <c r="AC224" s="39"/>
      <c r="AD224" s="40"/>
      <c r="AE224" s="18"/>
    </row>
    <row r="225" spans="2:32" ht="45.75" customHeight="1" x14ac:dyDescent="0.2">
      <c r="B225" s="24"/>
      <c r="C225" s="83" t="s">
        <v>119</v>
      </c>
      <c r="D225" s="28"/>
      <c r="E225" s="33"/>
      <c r="F225" s="30"/>
      <c r="G225" s="32"/>
      <c r="H225" s="53"/>
      <c r="I225" s="32"/>
      <c r="J225" s="53"/>
      <c r="K225" s="32"/>
      <c r="L225" s="53"/>
      <c r="M225" s="32"/>
      <c r="N225" s="53"/>
      <c r="O225" s="32"/>
      <c r="P225" s="53"/>
      <c r="Q225" s="32"/>
      <c r="R225" s="53"/>
      <c r="S225" s="32"/>
      <c r="T225" s="53"/>
      <c r="U225" s="32"/>
      <c r="V225" s="53"/>
      <c r="W225" s="32"/>
      <c r="X225" s="53"/>
      <c r="Y225" s="32"/>
      <c r="Z225" s="53"/>
      <c r="AA225" s="32"/>
      <c r="AB225" s="53"/>
      <c r="AC225" s="32"/>
      <c r="AD225" s="53"/>
      <c r="AE225" s="18"/>
    </row>
    <row r="226" spans="2:32" ht="24.75" customHeight="1" x14ac:dyDescent="0.2">
      <c r="B226" s="24">
        <v>355</v>
      </c>
      <c r="C226" s="20" t="s">
        <v>120</v>
      </c>
      <c r="D226" s="28"/>
      <c r="E226" s="19"/>
      <c r="F226" s="25"/>
      <c r="G226" s="37"/>
      <c r="H226" s="25"/>
      <c r="I226" s="37"/>
      <c r="J226" s="25"/>
      <c r="K226" s="37"/>
      <c r="L226" s="25"/>
      <c r="M226" s="37"/>
      <c r="N226" s="25"/>
      <c r="O226" s="37"/>
      <c r="P226" s="25"/>
      <c r="Q226" s="37"/>
      <c r="R226" s="25"/>
      <c r="S226" s="37"/>
      <c r="T226" s="25"/>
      <c r="U226" s="37"/>
      <c r="V226" s="25"/>
      <c r="W226" s="37"/>
      <c r="X226" s="25"/>
      <c r="Y226" s="37"/>
      <c r="Z226" s="25"/>
      <c r="AA226" s="37"/>
      <c r="AB226" s="25"/>
      <c r="AC226" s="37"/>
      <c r="AD226" s="25"/>
      <c r="AE226" s="18"/>
    </row>
    <row r="227" spans="2:32" ht="14.25" customHeight="1" x14ac:dyDescent="0.2">
      <c r="B227" s="24"/>
      <c r="C227" s="83" t="s">
        <v>162</v>
      </c>
      <c r="D227" s="28"/>
      <c r="E227" s="33"/>
      <c r="F227" s="30"/>
      <c r="G227" s="32"/>
      <c r="H227" s="31"/>
      <c r="I227" s="32"/>
      <c r="J227" s="31"/>
      <c r="K227" s="32"/>
      <c r="L227" s="31"/>
      <c r="M227" s="32"/>
      <c r="N227" s="31"/>
      <c r="O227" s="32"/>
      <c r="P227" s="31"/>
      <c r="Q227" s="32"/>
      <c r="R227" s="31"/>
      <c r="S227" s="32"/>
      <c r="T227" s="31"/>
      <c r="U227" s="32"/>
      <c r="V227" s="31"/>
      <c r="W227" s="32"/>
      <c r="X227" s="31"/>
      <c r="Y227" s="32"/>
      <c r="Z227" s="31"/>
      <c r="AA227" s="32"/>
      <c r="AB227" s="31"/>
      <c r="AC227" s="32"/>
      <c r="AD227" s="31"/>
      <c r="AE227" s="18"/>
    </row>
    <row r="228" spans="2:32" ht="12" customHeight="1" x14ac:dyDescent="0.2">
      <c r="B228" s="24"/>
      <c r="C228" s="83" t="s">
        <v>187</v>
      </c>
      <c r="D228" s="28"/>
      <c r="E228" s="33"/>
      <c r="F228" s="30"/>
      <c r="G228" s="32"/>
      <c r="H228" s="31"/>
      <c r="I228" s="32"/>
      <c r="J228" s="31"/>
      <c r="K228" s="32"/>
      <c r="L228" s="31"/>
      <c r="M228" s="32"/>
      <c r="N228" s="31"/>
      <c r="O228" s="32"/>
      <c r="P228" s="31"/>
      <c r="Q228" s="32"/>
      <c r="R228" s="31"/>
      <c r="S228" s="32"/>
      <c r="T228" s="31"/>
      <c r="U228" s="32"/>
      <c r="V228" s="31"/>
      <c r="W228" s="32"/>
      <c r="X228" s="31"/>
      <c r="Y228" s="32"/>
      <c r="Z228" s="31"/>
      <c r="AA228" s="32"/>
      <c r="AB228" s="31"/>
      <c r="AC228" s="32"/>
      <c r="AD228" s="31"/>
      <c r="AE228" s="18"/>
    </row>
    <row r="229" spans="2:32" ht="12" customHeight="1" x14ac:dyDescent="0.2">
      <c r="B229" s="24"/>
      <c r="C229" s="83" t="s">
        <v>164</v>
      </c>
      <c r="D229" s="28"/>
      <c r="E229" s="33"/>
      <c r="F229" s="30"/>
      <c r="G229" s="32"/>
      <c r="H229" s="31"/>
      <c r="I229" s="32"/>
      <c r="J229" s="31"/>
      <c r="K229" s="32"/>
      <c r="L229" s="31"/>
      <c r="M229" s="32"/>
      <c r="N229" s="31"/>
      <c r="O229" s="32"/>
      <c r="P229" s="31"/>
      <c r="Q229" s="32"/>
      <c r="R229" s="31"/>
      <c r="S229" s="32"/>
      <c r="T229" s="31"/>
      <c r="U229" s="32"/>
      <c r="V229" s="31"/>
      <c r="W229" s="32"/>
      <c r="X229" s="31"/>
      <c r="Y229" s="32"/>
      <c r="Z229" s="31"/>
      <c r="AA229" s="32"/>
      <c r="AB229" s="31"/>
      <c r="AC229" s="32"/>
      <c r="AD229" s="31"/>
      <c r="AE229" s="18"/>
    </row>
    <row r="230" spans="2:32" ht="13.5" customHeight="1" x14ac:dyDescent="0.2">
      <c r="B230" s="24"/>
      <c r="C230" s="83" t="s">
        <v>163</v>
      </c>
      <c r="D230" s="28"/>
      <c r="E230" s="33"/>
      <c r="F230" s="30"/>
      <c r="G230" s="32"/>
      <c r="H230" s="31"/>
      <c r="I230" s="32"/>
      <c r="J230" s="31"/>
      <c r="K230" s="32"/>
      <c r="L230" s="31"/>
      <c r="M230" s="32"/>
      <c r="N230" s="31"/>
      <c r="O230" s="32"/>
      <c r="P230" s="31"/>
      <c r="Q230" s="32"/>
      <c r="R230" s="31"/>
      <c r="S230" s="32"/>
      <c r="T230" s="31"/>
      <c r="U230" s="32"/>
      <c r="V230" s="31"/>
      <c r="W230" s="32"/>
      <c r="X230" s="31"/>
      <c r="Y230" s="32"/>
      <c r="Z230" s="31"/>
      <c r="AA230" s="32"/>
      <c r="AB230" s="31"/>
      <c r="AC230" s="32"/>
      <c r="AD230" s="31"/>
      <c r="AE230" s="18"/>
    </row>
    <row r="231" spans="2:32" ht="25.5" customHeight="1" x14ac:dyDescent="0.2">
      <c r="B231" s="24">
        <v>357</v>
      </c>
      <c r="C231" s="20" t="s">
        <v>192</v>
      </c>
      <c r="D231" s="28"/>
      <c r="E231" s="19"/>
      <c r="F231" s="57"/>
      <c r="G231" s="37"/>
      <c r="H231" s="26"/>
      <c r="I231" s="37"/>
      <c r="J231" s="26"/>
      <c r="K231" s="37"/>
      <c r="L231" s="26"/>
      <c r="M231" s="37"/>
      <c r="N231" s="26"/>
      <c r="O231" s="37"/>
      <c r="P231" s="26"/>
      <c r="Q231" s="37"/>
      <c r="R231" s="26"/>
      <c r="S231" s="37"/>
      <c r="T231" s="26"/>
      <c r="U231" s="37"/>
      <c r="V231" s="26"/>
      <c r="W231" s="37"/>
      <c r="X231" s="26"/>
      <c r="Y231" s="37"/>
      <c r="Z231" s="26"/>
      <c r="AA231" s="37"/>
      <c r="AB231" s="26"/>
      <c r="AC231" s="32"/>
      <c r="AD231" s="31"/>
      <c r="AE231" s="18"/>
    </row>
    <row r="232" spans="2:32" ht="12.75" customHeight="1" x14ac:dyDescent="0.2">
      <c r="B232" s="24"/>
      <c r="C232" s="88"/>
      <c r="D232" s="28"/>
      <c r="E232" s="33"/>
      <c r="F232" s="30"/>
      <c r="G232" s="32"/>
      <c r="H232" s="53"/>
      <c r="I232" s="32"/>
      <c r="J232" s="53"/>
      <c r="K232" s="32"/>
      <c r="L232" s="53"/>
      <c r="M232" s="32"/>
      <c r="N232" s="53"/>
      <c r="O232" s="32"/>
      <c r="P232" s="53"/>
      <c r="Q232" s="32"/>
      <c r="R232" s="53"/>
      <c r="S232" s="32"/>
      <c r="T232" s="53"/>
      <c r="U232" s="32"/>
      <c r="V232" s="53"/>
      <c r="W232" s="32"/>
      <c r="X232" s="53"/>
      <c r="Y232" s="32"/>
      <c r="Z232" s="53"/>
      <c r="AA232" s="32"/>
      <c r="AB232" s="53"/>
      <c r="AC232" s="32"/>
      <c r="AD232" s="31"/>
      <c r="AE232" s="18"/>
    </row>
    <row r="233" spans="2:32" ht="12" customHeight="1" x14ac:dyDescent="0.2">
      <c r="B233" s="24">
        <v>359</v>
      </c>
      <c r="C233" s="20" t="s">
        <v>121</v>
      </c>
      <c r="D233" s="28"/>
      <c r="E233" s="19"/>
      <c r="F233" s="25"/>
      <c r="G233" s="37"/>
      <c r="H233" s="26"/>
      <c r="I233" s="37"/>
      <c r="J233" s="26"/>
      <c r="K233" s="37"/>
      <c r="L233" s="26"/>
      <c r="M233" s="37"/>
      <c r="N233" s="26"/>
      <c r="O233" s="37"/>
      <c r="P233" s="26"/>
      <c r="Q233" s="37"/>
      <c r="R233" s="26"/>
      <c r="S233" s="37"/>
      <c r="T233" s="26"/>
      <c r="U233" s="37"/>
      <c r="V233" s="26"/>
      <c r="W233" s="37"/>
      <c r="X233" s="26"/>
      <c r="Y233" s="37"/>
      <c r="Z233" s="26"/>
      <c r="AA233" s="37"/>
      <c r="AB233" s="26"/>
      <c r="AC233" s="37"/>
      <c r="AD233" s="26"/>
      <c r="AE233" s="18"/>
    </row>
    <row r="234" spans="2:32" ht="13.5" customHeight="1" x14ac:dyDescent="0.2">
      <c r="B234" s="24"/>
      <c r="C234" s="83"/>
      <c r="D234" s="28"/>
      <c r="E234" s="29"/>
      <c r="F234" s="30"/>
      <c r="G234" s="32"/>
      <c r="H234" s="53"/>
      <c r="I234" s="32"/>
      <c r="J234" s="53"/>
      <c r="K234" s="32"/>
      <c r="L234" s="53"/>
      <c r="M234" s="32"/>
      <c r="N234" s="53"/>
      <c r="O234" s="32"/>
      <c r="P234" s="53"/>
      <c r="Q234" s="32"/>
      <c r="R234" s="53"/>
      <c r="S234" s="32"/>
      <c r="T234" s="53"/>
      <c r="U234" s="32"/>
      <c r="V234" s="53"/>
      <c r="W234" s="32"/>
      <c r="X234" s="53"/>
      <c r="Y234" s="32"/>
      <c r="Z234" s="53"/>
      <c r="AA234" s="32"/>
      <c r="AB234" s="53"/>
      <c r="AC234" s="32"/>
      <c r="AD234" s="53"/>
      <c r="AE234" s="18"/>
    </row>
    <row r="235" spans="2:32" ht="26.25" customHeight="1" x14ac:dyDescent="0.2">
      <c r="B235" s="20">
        <v>50000</v>
      </c>
      <c r="C235" s="20" t="s">
        <v>122</v>
      </c>
      <c r="D235" s="34"/>
      <c r="E235" s="19"/>
      <c r="F235" s="25"/>
      <c r="G235" s="47"/>
      <c r="H235" s="25"/>
      <c r="I235" s="47"/>
      <c r="J235" s="25"/>
      <c r="K235" s="47"/>
      <c r="L235" s="25"/>
      <c r="M235" s="47"/>
      <c r="N235" s="25"/>
      <c r="O235" s="47"/>
      <c r="P235" s="25"/>
      <c r="Q235" s="47"/>
      <c r="R235" s="25"/>
      <c r="S235" s="47"/>
      <c r="T235" s="25"/>
      <c r="U235" s="47"/>
      <c r="V235" s="25"/>
      <c r="W235" s="47"/>
      <c r="X235" s="25"/>
      <c r="Y235" s="47"/>
      <c r="Z235" s="25"/>
      <c r="AA235" s="47"/>
      <c r="AB235" s="25"/>
      <c r="AC235" s="47"/>
      <c r="AD235" s="25"/>
      <c r="AE235" s="18"/>
    </row>
    <row r="236" spans="2:32" ht="24.75" customHeight="1" x14ac:dyDescent="0.2">
      <c r="B236" s="19">
        <v>5100</v>
      </c>
      <c r="C236" s="20" t="s">
        <v>123</v>
      </c>
      <c r="D236" s="28"/>
      <c r="E236" s="19"/>
      <c r="F236" s="41"/>
      <c r="G236" s="39"/>
      <c r="H236" s="41"/>
      <c r="I236" s="39"/>
      <c r="J236" s="41"/>
      <c r="K236" s="39"/>
      <c r="L236" s="41"/>
      <c r="M236" s="39"/>
      <c r="N236" s="41"/>
      <c r="O236" s="39"/>
      <c r="P236" s="41"/>
      <c r="Q236" s="39"/>
      <c r="R236" s="41"/>
      <c r="S236" s="39"/>
      <c r="T236" s="41"/>
      <c r="U236" s="39"/>
      <c r="V236" s="41"/>
      <c r="W236" s="39"/>
      <c r="X236" s="41"/>
      <c r="Y236" s="39"/>
      <c r="Z236" s="41"/>
      <c r="AA236" s="39"/>
      <c r="AB236" s="41"/>
      <c r="AC236" s="39"/>
      <c r="AD236" s="41"/>
      <c r="AE236" s="18"/>
    </row>
    <row r="237" spans="2:32" ht="17.25" customHeight="1" x14ac:dyDescent="0.2">
      <c r="B237" s="24">
        <v>511</v>
      </c>
      <c r="C237" s="20" t="s">
        <v>124</v>
      </c>
      <c r="D237" s="28"/>
      <c r="E237" s="19"/>
      <c r="F237" s="25"/>
      <c r="G237" s="37"/>
      <c r="H237" s="25"/>
      <c r="I237" s="37"/>
      <c r="J237" s="25"/>
      <c r="K237" s="37"/>
      <c r="L237" s="25"/>
      <c r="M237" s="37"/>
      <c r="N237" s="25"/>
      <c r="O237" s="37"/>
      <c r="P237" s="25"/>
      <c r="Q237" s="37"/>
      <c r="R237" s="25"/>
      <c r="S237" s="37"/>
      <c r="T237" s="25"/>
      <c r="U237" s="37"/>
      <c r="V237" s="25"/>
      <c r="W237" s="37"/>
      <c r="X237" s="25"/>
      <c r="Y237" s="37"/>
      <c r="Z237" s="25"/>
      <c r="AA237" s="37"/>
      <c r="AB237" s="25"/>
      <c r="AC237" s="37"/>
      <c r="AD237" s="25"/>
      <c r="AE237" s="58"/>
      <c r="AF237" s="59"/>
    </row>
    <row r="238" spans="2:32" ht="14.25" customHeight="1" x14ac:dyDescent="0.2">
      <c r="B238" s="24"/>
      <c r="C238" s="83" t="s">
        <v>165</v>
      </c>
      <c r="D238" s="28"/>
      <c r="E238" s="33"/>
      <c r="F238" s="30"/>
      <c r="G238" s="32"/>
      <c r="H238" s="31"/>
      <c r="I238" s="32"/>
      <c r="J238" s="31"/>
      <c r="K238" s="32"/>
      <c r="L238" s="31"/>
      <c r="M238" s="32"/>
      <c r="N238" s="31"/>
      <c r="O238" s="32"/>
      <c r="P238" s="31"/>
      <c r="Q238" s="32"/>
      <c r="R238" s="31"/>
      <c r="S238" s="32"/>
      <c r="T238" s="31"/>
      <c r="U238" s="32"/>
      <c r="V238" s="31"/>
      <c r="W238" s="32"/>
      <c r="X238" s="31"/>
      <c r="Y238" s="32"/>
      <c r="Z238" s="31"/>
      <c r="AA238" s="32"/>
      <c r="AB238" s="31"/>
      <c r="AC238" s="32"/>
      <c r="AD238" s="31"/>
      <c r="AE238" s="58"/>
      <c r="AF238" s="59"/>
    </row>
    <row r="239" spans="2:32" ht="14.25" customHeight="1" x14ac:dyDescent="0.2">
      <c r="B239" s="24"/>
      <c r="C239" s="83" t="s">
        <v>166</v>
      </c>
      <c r="D239" s="34"/>
      <c r="E239" s="33"/>
      <c r="F239" s="35"/>
      <c r="G239" s="42"/>
      <c r="H239" s="36"/>
      <c r="I239" s="42"/>
      <c r="J239" s="36"/>
      <c r="K239" s="42"/>
      <c r="L239" s="36"/>
      <c r="M239" s="42"/>
      <c r="N239" s="36"/>
      <c r="O239" s="42"/>
      <c r="P239" s="36"/>
      <c r="Q239" s="42"/>
      <c r="R239" s="36"/>
      <c r="S239" s="42"/>
      <c r="T239" s="36"/>
      <c r="U239" s="42"/>
      <c r="V239" s="36"/>
      <c r="W239" s="42"/>
      <c r="X239" s="36"/>
      <c r="Y239" s="42"/>
      <c r="Z239" s="36"/>
      <c r="AA239" s="42"/>
      <c r="AB239" s="36"/>
      <c r="AC239" s="42"/>
      <c r="AD239" s="36"/>
      <c r="AE239" s="58"/>
      <c r="AF239" s="59"/>
    </row>
    <row r="240" spans="2:32" ht="26.25" customHeight="1" x14ac:dyDescent="0.2">
      <c r="B240" s="24">
        <v>515</v>
      </c>
      <c r="C240" s="20" t="s">
        <v>125</v>
      </c>
      <c r="D240" s="34"/>
      <c r="E240" s="33"/>
      <c r="F240" s="25"/>
      <c r="G240" s="39"/>
      <c r="H240" s="40"/>
      <c r="I240" s="39"/>
      <c r="J240" s="40"/>
      <c r="K240" s="39"/>
      <c r="L240" s="40"/>
      <c r="M240" s="39"/>
      <c r="N240" s="40"/>
      <c r="O240" s="39"/>
      <c r="P240" s="40"/>
      <c r="Q240" s="39"/>
      <c r="R240" s="40"/>
      <c r="S240" s="39"/>
      <c r="T240" s="40"/>
      <c r="U240" s="39"/>
      <c r="V240" s="40"/>
      <c r="W240" s="39"/>
      <c r="X240" s="40"/>
      <c r="Y240" s="39"/>
      <c r="Z240" s="40"/>
      <c r="AA240" s="39"/>
      <c r="AB240" s="40"/>
      <c r="AC240" s="39"/>
      <c r="AD240" s="40"/>
      <c r="AE240" s="58"/>
      <c r="AF240" s="60"/>
    </row>
    <row r="241" spans="2:32" ht="23.25" customHeight="1" x14ac:dyDescent="0.2">
      <c r="B241" s="24"/>
      <c r="C241" s="83" t="s">
        <v>126</v>
      </c>
      <c r="D241" s="34"/>
      <c r="E241" s="33"/>
      <c r="F241" s="30"/>
      <c r="G241" s="32"/>
      <c r="H241" s="53"/>
      <c r="I241" s="32"/>
      <c r="J241" s="31"/>
      <c r="K241" s="32"/>
      <c r="L241" s="31"/>
      <c r="M241" s="32"/>
      <c r="N241" s="31"/>
      <c r="O241" s="32"/>
      <c r="P241" s="31"/>
      <c r="Q241" s="32"/>
      <c r="R241" s="31"/>
      <c r="S241" s="32"/>
      <c r="T241" s="31"/>
      <c r="U241" s="32"/>
      <c r="V241" s="31"/>
      <c r="W241" s="32"/>
      <c r="X241" s="31"/>
      <c r="Y241" s="32"/>
      <c r="Z241" s="31"/>
      <c r="AA241" s="32"/>
      <c r="AB241" s="31"/>
      <c r="AC241" s="32"/>
      <c r="AD241" s="31"/>
      <c r="AE241" s="58"/>
      <c r="AF241" s="60"/>
    </row>
    <row r="242" spans="2:32" ht="12" customHeight="1" x14ac:dyDescent="0.2">
      <c r="B242" s="24">
        <v>519</v>
      </c>
      <c r="C242" s="20" t="s">
        <v>127</v>
      </c>
      <c r="D242" s="28"/>
      <c r="E242" s="33"/>
      <c r="F242" s="25"/>
      <c r="G242" s="37"/>
      <c r="H242" s="25"/>
      <c r="I242" s="37"/>
      <c r="J242" s="25"/>
      <c r="K242" s="37"/>
      <c r="L242" s="25"/>
      <c r="M242" s="37"/>
      <c r="N242" s="25"/>
      <c r="O242" s="37"/>
      <c r="P242" s="25"/>
      <c r="Q242" s="37"/>
      <c r="R242" s="25"/>
      <c r="S242" s="37"/>
      <c r="T242" s="25"/>
      <c r="U242" s="37"/>
      <c r="V242" s="25"/>
      <c r="W242" s="37"/>
      <c r="X242" s="25"/>
      <c r="Y242" s="37"/>
      <c r="Z242" s="25"/>
      <c r="AA242" s="37"/>
      <c r="AB242" s="25"/>
      <c r="AC242" s="37"/>
      <c r="AD242" s="25"/>
      <c r="AE242" s="58"/>
      <c r="AF242" s="60"/>
    </row>
    <row r="243" spans="2:32" ht="12" customHeight="1" x14ac:dyDescent="0.2">
      <c r="B243" s="24"/>
      <c r="C243" s="83" t="s">
        <v>167</v>
      </c>
      <c r="D243" s="34"/>
      <c r="E243" s="33"/>
      <c r="F243" s="35"/>
      <c r="G243" s="32"/>
      <c r="H243" s="30"/>
      <c r="I243" s="32"/>
      <c r="J243" s="30"/>
      <c r="K243" s="32"/>
      <c r="L243" s="30"/>
      <c r="M243" s="32"/>
      <c r="N243" s="30"/>
      <c r="O243" s="32"/>
      <c r="P243" s="30"/>
      <c r="Q243" s="32"/>
      <c r="R243" s="30"/>
      <c r="S243" s="32"/>
      <c r="T243" s="30"/>
      <c r="U243" s="32"/>
      <c r="V243" s="30"/>
      <c r="W243" s="32"/>
      <c r="X243" s="30"/>
      <c r="Y243" s="32"/>
      <c r="Z243" s="30"/>
      <c r="AA243" s="32"/>
      <c r="AB243" s="30"/>
      <c r="AC243" s="32"/>
      <c r="AD243" s="30"/>
      <c r="AE243" s="58"/>
      <c r="AF243" s="60"/>
    </row>
    <row r="244" spans="2:32" ht="12" customHeight="1" x14ac:dyDescent="0.2">
      <c r="B244" s="24"/>
      <c r="C244" s="83" t="s">
        <v>168</v>
      </c>
      <c r="D244" s="34"/>
      <c r="E244" s="33"/>
      <c r="F244" s="35"/>
      <c r="G244" s="32"/>
      <c r="H244" s="30"/>
      <c r="I244" s="32"/>
      <c r="J244" s="30"/>
      <c r="K244" s="32"/>
      <c r="L244" s="30"/>
      <c r="M244" s="32"/>
      <c r="N244" s="30"/>
      <c r="O244" s="32"/>
      <c r="P244" s="30"/>
      <c r="Q244" s="32"/>
      <c r="R244" s="30"/>
      <c r="S244" s="32"/>
      <c r="T244" s="30"/>
      <c r="U244" s="32"/>
      <c r="V244" s="30"/>
      <c r="W244" s="32"/>
      <c r="X244" s="30"/>
      <c r="Y244" s="32"/>
      <c r="Z244" s="30"/>
      <c r="AA244" s="32"/>
      <c r="AB244" s="30"/>
      <c r="AC244" s="32"/>
      <c r="AD244" s="30"/>
      <c r="AE244" s="58"/>
      <c r="AF244" s="60"/>
    </row>
    <row r="245" spans="2:32" ht="12" customHeight="1" x14ac:dyDescent="0.2">
      <c r="B245" s="24"/>
      <c r="C245" s="83" t="s">
        <v>133</v>
      </c>
      <c r="D245" s="34"/>
      <c r="E245" s="33"/>
      <c r="F245" s="35"/>
      <c r="G245" s="32"/>
      <c r="H245" s="53"/>
      <c r="I245" s="32"/>
      <c r="J245" s="53"/>
      <c r="K245" s="32"/>
      <c r="L245" s="53"/>
      <c r="M245" s="32"/>
      <c r="N245" s="31"/>
      <c r="O245" s="32"/>
      <c r="P245" s="31"/>
      <c r="Q245" s="32"/>
      <c r="R245" s="31"/>
      <c r="S245" s="32"/>
      <c r="T245" s="31"/>
      <c r="U245" s="32"/>
      <c r="V245" s="31"/>
      <c r="W245" s="32"/>
      <c r="X245" s="31"/>
      <c r="Y245" s="32"/>
      <c r="Z245" s="31"/>
      <c r="AA245" s="32"/>
      <c r="AB245" s="31"/>
      <c r="AC245" s="32"/>
      <c r="AD245" s="31"/>
      <c r="AE245" s="58"/>
      <c r="AF245" s="60"/>
    </row>
    <row r="246" spans="2:32" ht="12" customHeight="1" x14ac:dyDescent="0.2">
      <c r="B246" s="24"/>
      <c r="C246" s="83" t="s">
        <v>189</v>
      </c>
      <c r="D246" s="34"/>
      <c r="E246" s="33"/>
      <c r="F246" s="35"/>
      <c r="G246" s="32"/>
      <c r="H246" s="53"/>
      <c r="I246" s="32"/>
      <c r="J246" s="53"/>
      <c r="K246" s="32"/>
      <c r="L246" s="53"/>
      <c r="M246" s="32"/>
      <c r="N246" s="53"/>
      <c r="O246" s="32"/>
      <c r="P246" s="53"/>
      <c r="Q246" s="32"/>
      <c r="R246" s="53"/>
      <c r="S246" s="32"/>
      <c r="T246" s="53"/>
      <c r="U246" s="32"/>
      <c r="V246" s="53"/>
      <c r="W246" s="32"/>
      <c r="X246" s="53"/>
      <c r="Y246" s="32"/>
      <c r="Z246" s="53"/>
      <c r="AA246" s="32"/>
      <c r="AB246" s="53"/>
      <c r="AC246" s="32"/>
      <c r="AD246" s="53"/>
      <c r="AE246" s="58"/>
      <c r="AF246" s="60"/>
    </row>
    <row r="247" spans="2:32" ht="26.25" customHeight="1" x14ac:dyDescent="0.2">
      <c r="B247" s="19">
        <v>5200</v>
      </c>
      <c r="C247" s="20" t="s">
        <v>128</v>
      </c>
      <c r="D247" s="28"/>
      <c r="E247" s="19"/>
      <c r="F247" s="25"/>
      <c r="G247" s="39"/>
      <c r="H247" s="40"/>
      <c r="I247" s="39"/>
      <c r="J247" s="40"/>
      <c r="K247" s="39"/>
      <c r="L247" s="40"/>
      <c r="M247" s="39"/>
      <c r="N247" s="40"/>
      <c r="O247" s="39"/>
      <c r="P247" s="40"/>
      <c r="Q247" s="39"/>
      <c r="R247" s="40"/>
      <c r="S247" s="39"/>
      <c r="T247" s="40"/>
      <c r="U247" s="39"/>
      <c r="V247" s="40"/>
      <c r="W247" s="39"/>
      <c r="X247" s="40"/>
      <c r="Y247" s="39"/>
      <c r="Z247" s="40"/>
      <c r="AA247" s="39"/>
      <c r="AB247" s="40"/>
      <c r="AC247" s="39"/>
      <c r="AD247" s="40"/>
      <c r="AE247" s="58"/>
    </row>
    <row r="248" spans="2:32" ht="15.75" customHeight="1" x14ac:dyDescent="0.2">
      <c r="B248" s="24">
        <v>521</v>
      </c>
      <c r="C248" s="20" t="s">
        <v>129</v>
      </c>
      <c r="D248" s="28"/>
      <c r="E248" s="19"/>
      <c r="F248" s="25"/>
      <c r="G248" s="37"/>
      <c r="H248" s="26"/>
      <c r="I248" s="37"/>
      <c r="J248" s="26"/>
      <c r="K248" s="37"/>
      <c r="L248" s="26"/>
      <c r="M248" s="37"/>
      <c r="N248" s="26"/>
      <c r="O248" s="37"/>
      <c r="P248" s="26"/>
      <c r="Q248" s="37"/>
      <c r="R248" s="26"/>
      <c r="S248" s="37"/>
      <c r="T248" s="26"/>
      <c r="U248" s="37"/>
      <c r="V248" s="26"/>
      <c r="W248" s="37"/>
      <c r="X248" s="26"/>
      <c r="Y248" s="37"/>
      <c r="Z248" s="26"/>
      <c r="AA248" s="37"/>
      <c r="AB248" s="26"/>
      <c r="AC248" s="37"/>
      <c r="AD248" s="26"/>
      <c r="AE248" s="58"/>
      <c r="AF248" s="60"/>
    </row>
    <row r="249" spans="2:32" ht="12.75" customHeight="1" x14ac:dyDescent="0.2">
      <c r="B249" s="24"/>
      <c r="C249" s="83" t="s">
        <v>130</v>
      </c>
      <c r="D249" s="34"/>
      <c r="E249" s="33"/>
      <c r="F249" s="30"/>
      <c r="G249" s="32"/>
      <c r="H249" s="53"/>
      <c r="I249" s="32"/>
      <c r="J249" s="31"/>
      <c r="K249" s="32"/>
      <c r="L249" s="31"/>
      <c r="M249" s="32"/>
      <c r="N249" s="31"/>
      <c r="O249" s="32"/>
      <c r="P249" s="31"/>
      <c r="Q249" s="32"/>
      <c r="R249" s="31"/>
      <c r="S249" s="32"/>
      <c r="T249" s="31"/>
      <c r="U249" s="32"/>
      <c r="V249" s="31"/>
      <c r="W249" s="32"/>
      <c r="X249" s="31"/>
      <c r="Y249" s="32"/>
      <c r="Z249" s="31"/>
      <c r="AA249" s="32"/>
      <c r="AB249" s="31"/>
      <c r="AC249" s="32"/>
      <c r="AD249" s="36"/>
      <c r="AE249" s="18"/>
      <c r="AF249" s="60"/>
    </row>
    <row r="250" spans="2:32" ht="14.25" customHeight="1" x14ac:dyDescent="0.2">
      <c r="B250" s="24">
        <v>523</v>
      </c>
      <c r="C250" s="20" t="s">
        <v>131</v>
      </c>
      <c r="D250" s="28"/>
      <c r="E250" s="19"/>
      <c r="F250" s="25"/>
      <c r="G250" s="37"/>
      <c r="H250" s="26"/>
      <c r="I250" s="37"/>
      <c r="J250" s="26"/>
      <c r="K250" s="37"/>
      <c r="L250" s="26"/>
      <c r="M250" s="37"/>
      <c r="N250" s="26"/>
      <c r="O250" s="37"/>
      <c r="P250" s="26"/>
      <c r="Q250" s="37"/>
      <c r="R250" s="26"/>
      <c r="S250" s="37"/>
      <c r="T250" s="26"/>
      <c r="U250" s="37"/>
      <c r="V250" s="26"/>
      <c r="W250" s="37"/>
      <c r="X250" s="26"/>
      <c r="Y250" s="37"/>
      <c r="Z250" s="26"/>
      <c r="AA250" s="37"/>
      <c r="AB250" s="26"/>
      <c r="AC250" s="37"/>
      <c r="AD250" s="26"/>
      <c r="AE250" s="18"/>
      <c r="AF250" s="60"/>
    </row>
    <row r="251" spans="2:32" ht="15" customHeight="1" x14ac:dyDescent="0.2">
      <c r="B251" s="24"/>
      <c r="C251" s="83" t="s">
        <v>132</v>
      </c>
      <c r="D251" s="34"/>
      <c r="E251" s="33"/>
      <c r="F251" s="30"/>
      <c r="G251" s="32"/>
      <c r="H251" s="53"/>
      <c r="I251" s="32"/>
      <c r="J251" s="31"/>
      <c r="K251" s="32"/>
      <c r="L251" s="31"/>
      <c r="M251" s="32"/>
      <c r="N251" s="31"/>
      <c r="O251" s="32"/>
      <c r="P251" s="31"/>
      <c r="Q251" s="32"/>
      <c r="R251" s="31"/>
      <c r="S251" s="32"/>
      <c r="T251" s="31"/>
      <c r="U251" s="32"/>
      <c r="V251" s="31"/>
      <c r="W251" s="32"/>
      <c r="X251" s="31"/>
      <c r="Y251" s="32"/>
      <c r="Z251" s="31"/>
      <c r="AA251" s="32"/>
      <c r="AB251" s="31"/>
      <c r="AC251" s="32"/>
      <c r="AD251" s="31"/>
      <c r="AE251" s="18"/>
      <c r="AF251" s="60"/>
    </row>
    <row r="252" spans="2:32" ht="13.5" customHeight="1" x14ac:dyDescent="0.2">
      <c r="B252" s="19">
        <v>5900</v>
      </c>
      <c r="C252" s="20" t="s">
        <v>134</v>
      </c>
      <c r="D252" s="28"/>
      <c r="E252" s="33"/>
      <c r="F252" s="48"/>
      <c r="G252" s="32"/>
      <c r="H252" s="48"/>
      <c r="I252" s="37"/>
      <c r="J252" s="48"/>
      <c r="K252" s="37"/>
      <c r="L252" s="48"/>
      <c r="M252" s="37"/>
      <c r="N252" s="48"/>
      <c r="O252" s="37"/>
      <c r="P252" s="48"/>
      <c r="Q252" s="37"/>
      <c r="R252" s="48"/>
      <c r="S252" s="37"/>
      <c r="T252" s="48"/>
      <c r="U252" s="37"/>
      <c r="V252" s="48"/>
      <c r="W252" s="37"/>
      <c r="X252" s="48"/>
      <c r="Y252" s="37"/>
      <c r="Z252" s="48"/>
      <c r="AA252" s="37"/>
      <c r="AB252" s="48"/>
      <c r="AC252" s="37"/>
      <c r="AD252" s="48"/>
      <c r="AE252" s="18"/>
    </row>
    <row r="253" spans="2:32" ht="13.5" customHeight="1" x14ac:dyDescent="0.2">
      <c r="B253" s="24">
        <v>591</v>
      </c>
      <c r="C253" s="20" t="s">
        <v>190</v>
      </c>
      <c r="D253" s="28"/>
      <c r="E253" s="33"/>
      <c r="F253" s="25"/>
      <c r="G253" s="32"/>
      <c r="H253" s="48"/>
      <c r="I253" s="37"/>
      <c r="J253" s="48"/>
      <c r="K253" s="37"/>
      <c r="L253" s="48"/>
      <c r="M253" s="37"/>
      <c r="N253" s="48"/>
      <c r="O253" s="37"/>
      <c r="P253" s="48"/>
      <c r="Q253" s="37"/>
      <c r="R253" s="48"/>
      <c r="S253" s="37"/>
      <c r="T253" s="48"/>
      <c r="U253" s="37"/>
      <c r="V253" s="48"/>
      <c r="W253" s="37"/>
      <c r="X253" s="48"/>
      <c r="Y253" s="37"/>
      <c r="Z253" s="48"/>
      <c r="AA253" s="37"/>
      <c r="AB253" s="48"/>
      <c r="AC253" s="37"/>
      <c r="AD253" s="48"/>
      <c r="AE253" s="18"/>
    </row>
    <row r="254" spans="2:32" ht="13.5" customHeight="1" x14ac:dyDescent="0.2">
      <c r="B254" s="24"/>
      <c r="C254" s="83" t="s">
        <v>191</v>
      </c>
      <c r="D254" s="34"/>
      <c r="E254" s="33"/>
      <c r="F254" s="30"/>
      <c r="G254" s="32"/>
      <c r="H254" s="31"/>
      <c r="I254" s="32"/>
      <c r="J254" s="31"/>
      <c r="K254" s="32"/>
      <c r="L254" s="31"/>
      <c r="M254" s="32"/>
      <c r="N254" s="31"/>
      <c r="O254" s="32"/>
      <c r="P254" s="31"/>
      <c r="Q254" s="32"/>
      <c r="R254" s="31"/>
      <c r="S254" s="32"/>
      <c r="T254" s="31"/>
      <c r="U254" s="32"/>
      <c r="V254" s="31"/>
      <c r="W254" s="32"/>
      <c r="X254" s="31"/>
      <c r="Y254" s="32"/>
      <c r="Z254" s="31"/>
      <c r="AA254" s="32"/>
      <c r="AB254" s="31"/>
      <c r="AC254" s="32"/>
      <c r="AD254" s="31"/>
      <c r="AE254" s="18"/>
    </row>
    <row r="255" spans="2:32" ht="24" customHeight="1" x14ac:dyDescent="0.2">
      <c r="B255" s="24">
        <v>597</v>
      </c>
      <c r="C255" s="20" t="s">
        <v>135</v>
      </c>
      <c r="D255" s="28"/>
      <c r="E255" s="33"/>
      <c r="F255" s="25"/>
      <c r="G255" s="32"/>
      <c r="H255" s="48"/>
      <c r="I255" s="37"/>
      <c r="J255" s="48"/>
      <c r="K255" s="37"/>
      <c r="L255" s="48"/>
      <c r="M255" s="37"/>
      <c r="N255" s="48"/>
      <c r="O255" s="37"/>
      <c r="P255" s="48"/>
      <c r="Q255" s="37"/>
      <c r="R255" s="48"/>
      <c r="S255" s="37"/>
      <c r="T255" s="48"/>
      <c r="U255" s="37"/>
      <c r="V255" s="48"/>
      <c r="W255" s="37"/>
      <c r="X255" s="48"/>
      <c r="Y255" s="37"/>
      <c r="Z255" s="48"/>
      <c r="AA255" s="37"/>
      <c r="AB255" s="48"/>
      <c r="AC255" s="37"/>
      <c r="AD255" s="48"/>
      <c r="AE255" s="18"/>
    </row>
    <row r="256" spans="2:32" ht="24.75" customHeight="1" x14ac:dyDescent="0.2">
      <c r="B256" s="24"/>
      <c r="C256" s="83" t="s">
        <v>135</v>
      </c>
      <c r="D256" s="34"/>
      <c r="E256" s="33"/>
      <c r="F256" s="35"/>
      <c r="G256" s="42"/>
      <c r="H256" s="36"/>
      <c r="I256" s="42"/>
      <c r="J256" s="36"/>
      <c r="K256" s="42"/>
      <c r="L256" s="36"/>
      <c r="M256" s="42"/>
      <c r="N256" s="36"/>
      <c r="O256" s="42"/>
      <c r="P256" s="36"/>
      <c r="Q256" s="42"/>
      <c r="R256" s="36"/>
      <c r="S256" s="42"/>
      <c r="T256" s="36"/>
      <c r="U256" s="42"/>
      <c r="V256" s="36"/>
      <c r="W256" s="42"/>
      <c r="X256" s="36"/>
      <c r="Y256" s="42"/>
      <c r="Z256" s="36"/>
      <c r="AA256" s="42"/>
      <c r="AB256" s="36"/>
      <c r="AC256" s="42"/>
      <c r="AD256" s="36"/>
      <c r="AE256" s="18"/>
    </row>
    <row r="257" spans="2:31" ht="17.25" customHeight="1" x14ac:dyDescent="0.2">
      <c r="B257" s="61"/>
      <c r="C257" s="77" t="s">
        <v>136</v>
      </c>
      <c r="D257" s="62"/>
      <c r="E257" s="63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18"/>
    </row>
    <row r="258" spans="2:31" ht="17.25" customHeight="1" x14ac:dyDescent="0.2">
      <c r="B258" s="65"/>
      <c r="C258" s="78"/>
      <c r="D258" s="66"/>
      <c r="E258" s="67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18"/>
    </row>
    <row r="259" spans="2:31" ht="17.25" customHeight="1" x14ac:dyDescent="0.2">
      <c r="B259" s="65"/>
      <c r="C259" s="78"/>
      <c r="D259" s="66"/>
      <c r="E259" s="67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18"/>
    </row>
    <row r="260" spans="2:31" ht="17.25" customHeight="1" x14ac:dyDescent="0.2"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8"/>
    </row>
    <row r="261" spans="2:31" ht="17.25" customHeight="1" x14ac:dyDescent="0.2">
      <c r="B261" s="65"/>
      <c r="C261" s="79"/>
      <c r="D261" s="70"/>
      <c r="E261" s="69"/>
      <c r="F261" s="71"/>
      <c r="G261" s="71"/>
      <c r="H261" s="71"/>
      <c r="I261" s="71"/>
      <c r="J261" s="71"/>
      <c r="K261" s="71"/>
      <c r="L261" s="71"/>
      <c r="M261" s="71"/>
      <c r="N261" s="71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"/>
      <c r="AB261" s="6"/>
      <c r="AC261" s="6"/>
      <c r="AD261" s="6"/>
      <c r="AE261" s="18"/>
    </row>
    <row r="262" spans="2:31" ht="17.25" customHeight="1" x14ac:dyDescent="0.2">
      <c r="B262" s="65"/>
      <c r="C262" s="79"/>
      <c r="D262" s="70"/>
      <c r="E262" s="69"/>
      <c r="F262" s="71"/>
      <c r="G262" s="71"/>
      <c r="H262" s="71"/>
      <c r="I262" s="71"/>
      <c r="J262" s="71"/>
      <c r="K262" s="71"/>
      <c r="L262" s="71"/>
      <c r="M262" s="71"/>
      <c r="N262" s="71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"/>
      <c r="AB262" s="6"/>
      <c r="AC262" s="6"/>
      <c r="AD262" s="6"/>
      <c r="AE262" s="18"/>
    </row>
    <row r="263" spans="2:31" ht="17.25" customHeight="1" x14ac:dyDescent="0.2">
      <c r="B263" s="72"/>
      <c r="C263" s="80"/>
      <c r="D263" s="73"/>
      <c r="E263" s="74"/>
      <c r="F263" s="69"/>
      <c r="G263" s="69"/>
      <c r="H263" s="69"/>
      <c r="I263" s="69"/>
      <c r="J263" s="69"/>
      <c r="K263" s="69"/>
      <c r="L263" s="69"/>
      <c r="M263" s="125"/>
      <c r="N263" s="125"/>
      <c r="O263" s="75"/>
      <c r="P263" s="75"/>
      <c r="Q263" s="75"/>
      <c r="R263" s="65"/>
      <c r="S263" s="65"/>
      <c r="T263" s="65"/>
      <c r="U263" s="65"/>
      <c r="V263" s="65"/>
      <c r="W263" s="65"/>
      <c r="X263" s="65"/>
      <c r="Y263" s="75"/>
      <c r="Z263" s="65"/>
      <c r="AA263" s="72"/>
      <c r="AB263" s="72"/>
      <c r="AC263" s="72"/>
      <c r="AD263" s="72"/>
      <c r="AE263" s="18"/>
    </row>
    <row r="264" spans="2:31" ht="17.25" customHeight="1" x14ac:dyDescent="0.2"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8"/>
    </row>
    <row r="265" spans="2:31" ht="17.25" customHeight="1" x14ac:dyDescent="0.2">
      <c r="B265" s="6"/>
      <c r="C265" s="126"/>
      <c r="D265" s="127"/>
      <c r="E265" s="12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2:31" ht="17.25" customHeight="1" x14ac:dyDescent="0.2">
      <c r="B266" s="6"/>
      <c r="C266" s="126"/>
      <c r="D266" s="127"/>
      <c r="E266" s="12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</sheetData>
  <mergeCells count="8">
    <mergeCell ref="B260:AD260"/>
    <mergeCell ref="B264:AD264"/>
    <mergeCell ref="B1:AD1"/>
    <mergeCell ref="B2:C2"/>
    <mergeCell ref="D2:G2"/>
    <mergeCell ref="B3:C3"/>
    <mergeCell ref="D3:I3"/>
    <mergeCell ref="C4:M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headerFooter>
    <oddHeader xml:space="preserve">&amp;C&amp;"Arial,Negrita"&amp;12PROGRAMA ANUAL DE ADQUISIONES 2022
CALENDARIZACIÓN DEL GASTO 2022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2022 SEC MOV</vt:lpstr>
      <vt:lpstr>'PAA 2022 SEC MOV'!Títulos_a_imprimir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SAF-D26L2</cp:lastModifiedBy>
  <cp:lastPrinted>2021-10-22T20:49:41Z</cp:lastPrinted>
  <dcterms:created xsi:type="dcterms:W3CDTF">2016-05-26T16:43:50Z</dcterms:created>
  <dcterms:modified xsi:type="dcterms:W3CDTF">2022-04-27T17:58:57Z</dcterms:modified>
</cp:coreProperties>
</file>